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ROZPOČET 2024\Zveřejnění schváleného rozpočtu 2024\"/>
    </mc:Choice>
  </mc:AlternateContent>
  <xr:revisionPtr revIDLastSave="0" documentId="13_ncr:1_{AFA9B1D5-2BF8-410F-9EA4-0E16AA166A05}" xr6:coauthVersionLast="47" xr6:coauthVersionMax="47" xr10:uidLastSave="{00000000-0000-0000-0000-000000000000}"/>
  <bookViews>
    <workbookView xWindow="-120" yWindow="-120" windowWidth="29040" windowHeight="15840" xr2:uid="{87C4D57F-DF65-472F-B800-7489E63D8449}"/>
  </bookViews>
  <sheets>
    <sheet name="Závaz.ukazat.schvál.rozp.r.2024" sheetId="1" r:id="rId1"/>
  </sheets>
  <definedNames>
    <definedName name="__DdeLink__9289_5144441" localSheetId="0">'Závaz.ukazat.schvál.rozp.r.2024'!#REF!</definedName>
    <definedName name="_xlnm.Print_Titles" localSheetId="0">'Závaz.ukazat.schvál.rozp.r.2024'!$1:$2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" i="1" l="1"/>
  <c r="Z231" i="1"/>
  <c r="Z278" i="1"/>
  <c r="Z271" i="1"/>
  <c r="Y123" i="1"/>
  <c r="X389" i="1"/>
  <c r="Y355" i="1"/>
  <c r="Y357" i="1"/>
  <c r="Y331" i="1"/>
  <c r="Y334" i="1"/>
  <c r="Y251" i="1"/>
  <c r="Y252" i="1"/>
  <c r="Y224" i="1"/>
  <c r="Y219" i="1"/>
  <c r="Y183" i="1"/>
  <c r="Y180" i="1"/>
  <c r="Y135" i="1"/>
  <c r="Y17" i="1" l="1"/>
  <c r="L327" i="1"/>
  <c r="X227" i="1"/>
  <c r="X20" i="1"/>
  <c r="X384" i="1"/>
  <c r="X367" i="1"/>
  <c r="X363" i="1"/>
  <c r="X359" i="1"/>
  <c r="X349" i="1"/>
  <c r="X342" i="1"/>
  <c r="X337" i="1"/>
  <c r="X327" i="1"/>
  <c r="X322" i="1"/>
  <c r="X304" i="1"/>
  <c r="X300" i="1"/>
  <c r="X294" i="1"/>
  <c r="X284" i="1"/>
  <c r="X278" i="1"/>
  <c r="X275" i="1"/>
  <c r="X266" i="1"/>
  <c r="X261" i="1"/>
  <c r="X256" i="1"/>
  <c r="X231" i="1"/>
  <c r="X177" i="1"/>
  <c r="X167" i="1"/>
  <c r="X154" i="1"/>
  <c r="X70" i="1"/>
  <c r="X65" i="1"/>
  <c r="X59" i="1"/>
  <c r="X51" i="1"/>
  <c r="X45" i="1"/>
  <c r="X24" i="1"/>
  <c r="X9" i="1"/>
  <c r="V85" i="1"/>
  <c r="V83" i="1"/>
  <c r="X373" i="1" l="1"/>
  <c r="X21" i="1"/>
  <c r="X272" i="1"/>
  <c r="V345" i="1"/>
  <c r="V298" i="1"/>
  <c r="V288" i="1"/>
  <c r="V289" i="1"/>
  <c r="V271" i="1"/>
  <c r="V254" i="1"/>
  <c r="W254" i="1" s="1"/>
  <c r="V242" i="1"/>
  <c r="W242" i="1" s="1"/>
  <c r="V241" i="1"/>
  <c r="W241" i="1" s="1"/>
  <c r="V230" i="1"/>
  <c r="V170" i="1"/>
  <c r="V176" i="1"/>
  <c r="V156" i="1"/>
  <c r="V153" i="1"/>
  <c r="V134" i="1"/>
  <c r="W134" i="1" s="1"/>
  <c r="V145" i="1"/>
  <c r="W145" i="1" s="1"/>
  <c r="V99" i="1"/>
  <c r="W99" i="1" s="1"/>
  <c r="V110" i="1"/>
  <c r="W110" i="1" s="1"/>
  <c r="V113" i="1"/>
  <c r="W113" i="1" s="1"/>
  <c r="V88" i="1"/>
  <c r="W88" i="1" s="1"/>
  <c r="V62" i="1"/>
  <c r="V64" i="1"/>
  <c r="V48" i="1"/>
  <c r="V40" i="1"/>
  <c r="W40" i="1" s="1"/>
  <c r="W38" i="1"/>
  <c r="V39" i="1"/>
  <c r="W39" i="1" s="1"/>
  <c r="V44" i="1"/>
  <c r="V8" i="1"/>
  <c r="V6" i="1"/>
  <c r="Z254" i="1" l="1"/>
  <c r="Y254" i="1"/>
  <c r="Y110" i="1"/>
  <c r="Z110" i="1"/>
  <c r="Y99" i="1"/>
  <c r="Z99" i="1"/>
  <c r="Z39" i="1"/>
  <c r="Y39" i="1"/>
  <c r="Z38" i="1"/>
  <c r="Y38" i="1"/>
  <c r="Y145" i="1"/>
  <c r="Z145" i="1"/>
  <c r="Y134" i="1"/>
  <c r="Z134" i="1"/>
  <c r="Z40" i="1"/>
  <c r="Y40" i="1"/>
  <c r="Z241" i="1"/>
  <c r="Y241" i="1"/>
  <c r="Y88" i="1"/>
  <c r="Z88" i="1"/>
  <c r="Z242" i="1"/>
  <c r="Y242" i="1"/>
  <c r="Z113" i="1"/>
  <c r="Y113" i="1"/>
  <c r="X374" i="1"/>
  <c r="R389" i="1"/>
  <c r="Q389" i="1"/>
  <c r="P389" i="1"/>
  <c r="O389" i="1"/>
  <c r="M389" i="1"/>
  <c r="L389" i="1"/>
  <c r="J389" i="1"/>
  <c r="I389" i="1"/>
  <c r="H389" i="1"/>
  <c r="G389" i="1"/>
  <c r="F389" i="1"/>
  <c r="D389" i="1"/>
  <c r="C389" i="1"/>
  <c r="S388" i="1"/>
  <c r="S389" i="1" s="1"/>
  <c r="K388" i="1"/>
  <c r="E388" i="1"/>
  <c r="E389" i="1" s="1"/>
  <c r="V384" i="1"/>
  <c r="U384" i="1"/>
  <c r="T384" i="1"/>
  <c r="R384" i="1"/>
  <c r="Q384" i="1"/>
  <c r="O384" i="1"/>
  <c r="L384" i="1"/>
  <c r="J384" i="1"/>
  <c r="I384" i="1"/>
  <c r="G384" i="1"/>
  <c r="F384" i="1"/>
  <c r="D384" i="1"/>
  <c r="C384" i="1"/>
  <c r="P383" i="1"/>
  <c r="S383" i="1" s="1"/>
  <c r="W383" i="1" s="1"/>
  <c r="E383" i="1"/>
  <c r="H383" i="1" s="1"/>
  <c r="K383" i="1" s="1"/>
  <c r="M383" i="1" s="1"/>
  <c r="P382" i="1"/>
  <c r="S382" i="1" s="1"/>
  <c r="W382" i="1" s="1"/>
  <c r="Y382" i="1" s="1"/>
  <c r="E382" i="1"/>
  <c r="H382" i="1" s="1"/>
  <c r="K382" i="1" s="1"/>
  <c r="M382" i="1" s="1"/>
  <c r="P381" i="1"/>
  <c r="S381" i="1" s="1"/>
  <c r="W381" i="1" s="1"/>
  <c r="Y381" i="1" s="1"/>
  <c r="E381" i="1"/>
  <c r="H381" i="1" s="1"/>
  <c r="K381" i="1" s="1"/>
  <c r="M381" i="1" s="1"/>
  <c r="P380" i="1"/>
  <c r="S380" i="1" s="1"/>
  <c r="E380" i="1"/>
  <c r="H380" i="1" s="1"/>
  <c r="K380" i="1" s="1"/>
  <c r="P379" i="1"/>
  <c r="S379" i="1" s="1"/>
  <c r="W379" i="1" s="1"/>
  <c r="Y379" i="1" s="1"/>
  <c r="E379" i="1"/>
  <c r="H379" i="1" s="1"/>
  <c r="K379" i="1" s="1"/>
  <c r="M379" i="1" s="1"/>
  <c r="P378" i="1"/>
  <c r="S378" i="1" s="1"/>
  <c r="W378" i="1" s="1"/>
  <c r="Y378" i="1" s="1"/>
  <c r="E378" i="1"/>
  <c r="H378" i="1" s="1"/>
  <c r="K378" i="1" s="1"/>
  <c r="M378" i="1" s="1"/>
  <c r="P377" i="1"/>
  <c r="S377" i="1" s="1"/>
  <c r="W377" i="1" s="1"/>
  <c r="E377" i="1"/>
  <c r="H377" i="1" s="1"/>
  <c r="R372" i="1"/>
  <c r="R367" i="1" s="1"/>
  <c r="P371" i="1"/>
  <c r="S371" i="1" s="1"/>
  <c r="W371" i="1" s="1"/>
  <c r="E371" i="1"/>
  <c r="H371" i="1" s="1"/>
  <c r="K371" i="1" s="1"/>
  <c r="P370" i="1"/>
  <c r="J370" i="1"/>
  <c r="J367" i="1" s="1"/>
  <c r="G370" i="1"/>
  <c r="G367" i="1" s="1"/>
  <c r="E370" i="1"/>
  <c r="P369" i="1"/>
  <c r="S369" i="1" s="1"/>
  <c r="W369" i="1" s="1"/>
  <c r="E369" i="1"/>
  <c r="H369" i="1" s="1"/>
  <c r="K369" i="1" s="1"/>
  <c r="M369" i="1" s="1"/>
  <c r="V367" i="1"/>
  <c r="U367" i="1"/>
  <c r="T367" i="1"/>
  <c r="Q367" i="1"/>
  <c r="O367" i="1"/>
  <c r="L367" i="1"/>
  <c r="I367" i="1"/>
  <c r="F367" i="1"/>
  <c r="D367" i="1"/>
  <c r="C367" i="1"/>
  <c r="V366" i="1"/>
  <c r="V363" i="1" s="1"/>
  <c r="R366" i="1"/>
  <c r="R363" i="1" s="1"/>
  <c r="P366" i="1"/>
  <c r="J366" i="1"/>
  <c r="J363" i="1" s="1"/>
  <c r="G366" i="1"/>
  <c r="G363" i="1" s="1"/>
  <c r="D366" i="1"/>
  <c r="P365" i="1"/>
  <c r="S365" i="1" s="1"/>
  <c r="W365" i="1" s="1"/>
  <c r="E365" i="1"/>
  <c r="H365" i="1" s="1"/>
  <c r="U363" i="1"/>
  <c r="T363" i="1"/>
  <c r="Q363" i="1"/>
  <c r="O363" i="1"/>
  <c r="L363" i="1"/>
  <c r="I363" i="1"/>
  <c r="F363" i="1"/>
  <c r="C363" i="1"/>
  <c r="R362" i="1"/>
  <c r="R359" i="1" s="1"/>
  <c r="P362" i="1"/>
  <c r="E362" i="1"/>
  <c r="H362" i="1" s="1"/>
  <c r="K362" i="1" s="1"/>
  <c r="P361" i="1"/>
  <c r="S361" i="1" s="1"/>
  <c r="E361" i="1"/>
  <c r="H361" i="1" s="1"/>
  <c r="V359" i="1"/>
  <c r="U359" i="1"/>
  <c r="T359" i="1"/>
  <c r="Q359" i="1"/>
  <c r="O359" i="1"/>
  <c r="L359" i="1"/>
  <c r="J359" i="1"/>
  <c r="I359" i="1"/>
  <c r="G359" i="1"/>
  <c r="F359" i="1"/>
  <c r="D359" i="1"/>
  <c r="C359" i="1"/>
  <c r="P358" i="1"/>
  <c r="S358" i="1" s="1"/>
  <c r="W358" i="1" s="1"/>
  <c r="Y358" i="1" s="1"/>
  <c r="E358" i="1"/>
  <c r="H358" i="1" s="1"/>
  <c r="K358" i="1" s="1"/>
  <c r="M358" i="1" s="1"/>
  <c r="S356" i="1"/>
  <c r="W356" i="1" s="1"/>
  <c r="O354" i="1"/>
  <c r="P354" i="1" s="1"/>
  <c r="S354" i="1" s="1"/>
  <c r="W354" i="1" s="1"/>
  <c r="J354" i="1"/>
  <c r="G354" i="1"/>
  <c r="E354" i="1"/>
  <c r="P353" i="1"/>
  <c r="J353" i="1"/>
  <c r="G353" i="1"/>
  <c r="E353" i="1"/>
  <c r="P352" i="1"/>
  <c r="S352" i="1" s="1"/>
  <c r="W352" i="1" s="1"/>
  <c r="E352" i="1"/>
  <c r="H352" i="1" s="1"/>
  <c r="K352" i="1" s="1"/>
  <c r="P351" i="1"/>
  <c r="S351" i="1" s="1"/>
  <c r="W351" i="1" s="1"/>
  <c r="E351" i="1"/>
  <c r="H351" i="1" s="1"/>
  <c r="K351" i="1" s="1"/>
  <c r="M351" i="1" s="1"/>
  <c r="V349" i="1"/>
  <c r="U349" i="1"/>
  <c r="T349" i="1"/>
  <c r="R349" i="1"/>
  <c r="Q349" i="1"/>
  <c r="L349" i="1"/>
  <c r="I349" i="1"/>
  <c r="F349" i="1"/>
  <c r="D349" i="1"/>
  <c r="C349" i="1"/>
  <c r="P348" i="1"/>
  <c r="S348" i="1" s="1"/>
  <c r="W348" i="1" s="1"/>
  <c r="Y348" i="1" s="1"/>
  <c r="E348" i="1"/>
  <c r="H348" i="1" s="1"/>
  <c r="K348" i="1" s="1"/>
  <c r="M348" i="1" s="1"/>
  <c r="R347" i="1"/>
  <c r="P347" i="1"/>
  <c r="E347" i="1"/>
  <c r="H347" i="1" s="1"/>
  <c r="K347" i="1" s="1"/>
  <c r="M347" i="1" s="1"/>
  <c r="R346" i="1"/>
  <c r="P346" i="1"/>
  <c r="J346" i="1"/>
  <c r="E346" i="1"/>
  <c r="H346" i="1" s="1"/>
  <c r="R345" i="1"/>
  <c r="O345" i="1"/>
  <c r="P345" i="1" s="1"/>
  <c r="J345" i="1"/>
  <c r="G345" i="1"/>
  <c r="G342" i="1" s="1"/>
  <c r="D345" i="1"/>
  <c r="P344" i="1"/>
  <c r="D344" i="1"/>
  <c r="E344" i="1" s="1"/>
  <c r="H344" i="1" s="1"/>
  <c r="V342" i="1"/>
  <c r="U342" i="1"/>
  <c r="T342" i="1"/>
  <c r="Q342" i="1"/>
  <c r="L342" i="1"/>
  <c r="I342" i="1"/>
  <c r="F342" i="1"/>
  <c r="C342" i="1"/>
  <c r="P341" i="1"/>
  <c r="S341" i="1" s="1"/>
  <c r="W341" i="1" s="1"/>
  <c r="Y341" i="1" s="1"/>
  <c r="E341" i="1"/>
  <c r="H341" i="1" s="1"/>
  <c r="K341" i="1" s="1"/>
  <c r="M341" i="1" s="1"/>
  <c r="P340" i="1"/>
  <c r="S340" i="1" s="1"/>
  <c r="W340" i="1" s="1"/>
  <c r="E340" i="1"/>
  <c r="H340" i="1" s="1"/>
  <c r="K340" i="1" s="1"/>
  <c r="P339" i="1"/>
  <c r="S339" i="1" s="1"/>
  <c r="E339" i="1"/>
  <c r="H339" i="1" s="1"/>
  <c r="V337" i="1"/>
  <c r="U337" i="1"/>
  <c r="T337" i="1"/>
  <c r="R337" i="1"/>
  <c r="Q337" i="1"/>
  <c r="O337" i="1"/>
  <c r="L337" i="1"/>
  <c r="J337" i="1"/>
  <c r="I337" i="1"/>
  <c r="G337" i="1"/>
  <c r="F337" i="1"/>
  <c r="D337" i="1"/>
  <c r="C337" i="1"/>
  <c r="P336" i="1"/>
  <c r="S336" i="1" s="1"/>
  <c r="W336" i="1" s="1"/>
  <c r="Y336" i="1" s="1"/>
  <c r="E336" i="1"/>
  <c r="H336" i="1" s="1"/>
  <c r="K336" i="1" s="1"/>
  <c r="M336" i="1" s="1"/>
  <c r="S335" i="1"/>
  <c r="W335" i="1" s="1"/>
  <c r="P333" i="1"/>
  <c r="S333" i="1" s="1"/>
  <c r="W333" i="1" s="1"/>
  <c r="E333" i="1"/>
  <c r="H333" i="1" s="1"/>
  <c r="K333" i="1" s="1"/>
  <c r="P332" i="1"/>
  <c r="S332" i="1" s="1"/>
  <c r="W332" i="1" s="1"/>
  <c r="E332" i="1"/>
  <c r="H332" i="1" s="1"/>
  <c r="K332" i="1" s="1"/>
  <c r="V330" i="1"/>
  <c r="V327" i="1" s="1"/>
  <c r="O330" i="1"/>
  <c r="P330" i="1" s="1"/>
  <c r="S330" i="1" s="1"/>
  <c r="G330" i="1"/>
  <c r="G327" i="1" s="1"/>
  <c r="E330" i="1"/>
  <c r="P329" i="1"/>
  <c r="S329" i="1" s="1"/>
  <c r="E329" i="1"/>
  <c r="H329" i="1" s="1"/>
  <c r="U327" i="1"/>
  <c r="T327" i="1"/>
  <c r="R327" i="1"/>
  <c r="Q327" i="1"/>
  <c r="J327" i="1"/>
  <c r="I327" i="1"/>
  <c r="F327" i="1"/>
  <c r="D327" i="1"/>
  <c r="C327" i="1"/>
  <c r="P326" i="1"/>
  <c r="S326" i="1" s="1"/>
  <c r="W326" i="1" s="1"/>
  <c r="Y326" i="1" s="1"/>
  <c r="E326" i="1"/>
  <c r="H326" i="1" s="1"/>
  <c r="K326" i="1" s="1"/>
  <c r="M326" i="1" s="1"/>
  <c r="V325" i="1"/>
  <c r="V322" i="1" s="1"/>
  <c r="R325" i="1"/>
  <c r="R322" i="1" s="1"/>
  <c r="O325" i="1"/>
  <c r="J325" i="1"/>
  <c r="J322" i="1" s="1"/>
  <c r="G325" i="1"/>
  <c r="G322" i="1" s="1"/>
  <c r="E325" i="1"/>
  <c r="P324" i="1"/>
  <c r="S324" i="1" s="1"/>
  <c r="E324" i="1"/>
  <c r="H324" i="1" s="1"/>
  <c r="K324" i="1" s="1"/>
  <c r="M324" i="1" s="1"/>
  <c r="U322" i="1"/>
  <c r="T322" i="1"/>
  <c r="Q322" i="1"/>
  <c r="L322" i="1"/>
  <c r="I322" i="1"/>
  <c r="F322" i="1"/>
  <c r="D322" i="1"/>
  <c r="C322" i="1"/>
  <c r="P321" i="1"/>
  <c r="S321" i="1" s="1"/>
  <c r="W321" i="1" s="1"/>
  <c r="Y321" i="1" s="1"/>
  <c r="E321" i="1"/>
  <c r="H321" i="1" s="1"/>
  <c r="K321" i="1" s="1"/>
  <c r="M321" i="1" s="1"/>
  <c r="V320" i="1"/>
  <c r="W320" i="1" s="1"/>
  <c r="W319" i="1"/>
  <c r="S318" i="1"/>
  <c r="W318" i="1" s="1"/>
  <c r="S317" i="1"/>
  <c r="W317" i="1" s="1"/>
  <c r="S316" i="1"/>
  <c r="W316" i="1" s="1"/>
  <c r="S315" i="1"/>
  <c r="W315" i="1" s="1"/>
  <c r="S314" i="1"/>
  <c r="W314" i="1" s="1"/>
  <c r="S313" i="1"/>
  <c r="W313" i="1" s="1"/>
  <c r="P312" i="1"/>
  <c r="S312" i="1" s="1"/>
  <c r="W312" i="1" s="1"/>
  <c r="M312" i="1"/>
  <c r="S311" i="1"/>
  <c r="W311" i="1" s="1"/>
  <c r="W310" i="1"/>
  <c r="W309" i="1"/>
  <c r="S308" i="1"/>
  <c r="W308" i="1" s="1"/>
  <c r="R307" i="1"/>
  <c r="R304" i="1" s="1"/>
  <c r="P307" i="1"/>
  <c r="G307" i="1"/>
  <c r="G304" i="1" s="1"/>
  <c r="D307" i="1"/>
  <c r="E307" i="1" s="1"/>
  <c r="P306" i="1"/>
  <c r="S306" i="1" s="1"/>
  <c r="E306" i="1"/>
  <c r="H306" i="1" s="1"/>
  <c r="U304" i="1"/>
  <c r="T304" i="1"/>
  <c r="Q304" i="1"/>
  <c r="O304" i="1"/>
  <c r="L304" i="1"/>
  <c r="J304" i="1"/>
  <c r="I304" i="1"/>
  <c r="F304" i="1"/>
  <c r="C304" i="1"/>
  <c r="P303" i="1"/>
  <c r="S303" i="1" s="1"/>
  <c r="W303" i="1" s="1"/>
  <c r="Y303" i="1" s="1"/>
  <c r="E303" i="1"/>
  <c r="H303" i="1" s="1"/>
  <c r="K303" i="1" s="1"/>
  <c r="M303" i="1" s="1"/>
  <c r="P302" i="1"/>
  <c r="S302" i="1" s="1"/>
  <c r="E302" i="1"/>
  <c r="H302" i="1" s="1"/>
  <c r="V300" i="1"/>
  <c r="U300" i="1"/>
  <c r="T300" i="1"/>
  <c r="R300" i="1"/>
  <c r="Q300" i="1"/>
  <c r="O300" i="1"/>
  <c r="L300" i="1"/>
  <c r="J300" i="1"/>
  <c r="I300" i="1"/>
  <c r="G300" i="1"/>
  <c r="F300" i="1"/>
  <c r="D300" i="1"/>
  <c r="C300" i="1"/>
  <c r="R299" i="1"/>
  <c r="O299" i="1"/>
  <c r="P299" i="1" s="1"/>
  <c r="D299" i="1"/>
  <c r="R298" i="1"/>
  <c r="O298" i="1"/>
  <c r="J298" i="1"/>
  <c r="J294" i="1" s="1"/>
  <c r="G298" i="1"/>
  <c r="G294" i="1" s="1"/>
  <c r="D298" i="1"/>
  <c r="E298" i="1" s="1"/>
  <c r="P297" i="1"/>
  <c r="S297" i="1" s="1"/>
  <c r="W297" i="1" s="1"/>
  <c r="Y297" i="1" s="1"/>
  <c r="E297" i="1"/>
  <c r="H297" i="1" s="1"/>
  <c r="U296" i="1"/>
  <c r="W296" i="1" s="1"/>
  <c r="V294" i="1"/>
  <c r="T294" i="1"/>
  <c r="Q294" i="1"/>
  <c r="L294" i="1"/>
  <c r="I294" i="1"/>
  <c r="F294" i="1"/>
  <c r="C294" i="1"/>
  <c r="P293" i="1"/>
  <c r="S293" i="1" s="1"/>
  <c r="W293" i="1" s="1"/>
  <c r="Y293" i="1" s="1"/>
  <c r="E293" i="1"/>
  <c r="H293" i="1" s="1"/>
  <c r="K293" i="1" s="1"/>
  <c r="M293" i="1" s="1"/>
  <c r="P292" i="1"/>
  <c r="S292" i="1" s="1"/>
  <c r="W292" i="1" s="1"/>
  <c r="H292" i="1"/>
  <c r="K292" i="1" s="1"/>
  <c r="P291" i="1"/>
  <c r="S291" i="1" s="1"/>
  <c r="W291" i="1" s="1"/>
  <c r="J291" i="1"/>
  <c r="H291" i="1"/>
  <c r="V290" i="1"/>
  <c r="P290" i="1"/>
  <c r="S290" i="1" s="1"/>
  <c r="J290" i="1"/>
  <c r="E290" i="1"/>
  <c r="H290" i="1" s="1"/>
  <c r="R289" i="1"/>
  <c r="O289" i="1"/>
  <c r="P289" i="1" s="1"/>
  <c r="J289" i="1"/>
  <c r="E289" i="1"/>
  <c r="H289" i="1" s="1"/>
  <c r="R288" i="1"/>
  <c r="O288" i="1"/>
  <c r="P288" i="1" s="1"/>
  <c r="J288" i="1"/>
  <c r="G288" i="1"/>
  <c r="E288" i="1"/>
  <c r="V287" i="1"/>
  <c r="P287" i="1"/>
  <c r="S287" i="1" s="1"/>
  <c r="J287" i="1"/>
  <c r="E287" i="1"/>
  <c r="H287" i="1" s="1"/>
  <c r="V286" i="1"/>
  <c r="R286" i="1"/>
  <c r="P286" i="1"/>
  <c r="J286" i="1"/>
  <c r="G286" i="1"/>
  <c r="E286" i="1"/>
  <c r="U284" i="1"/>
  <c r="T284" i="1"/>
  <c r="Q284" i="1"/>
  <c r="L284" i="1"/>
  <c r="I284" i="1"/>
  <c r="F284" i="1"/>
  <c r="D284" i="1"/>
  <c r="C284" i="1"/>
  <c r="P283" i="1"/>
  <c r="S283" i="1" s="1"/>
  <c r="W283" i="1" s="1"/>
  <c r="Y283" i="1" s="1"/>
  <c r="E283" i="1"/>
  <c r="H283" i="1" s="1"/>
  <c r="K283" i="1" s="1"/>
  <c r="M283" i="1" s="1"/>
  <c r="O282" i="1"/>
  <c r="P282" i="1" s="1"/>
  <c r="S282" i="1" s="1"/>
  <c r="W282" i="1" s="1"/>
  <c r="J282" i="1"/>
  <c r="J278" i="1" s="1"/>
  <c r="E282" i="1"/>
  <c r="H282" i="1" s="1"/>
  <c r="P281" i="1"/>
  <c r="E281" i="1"/>
  <c r="H281" i="1" s="1"/>
  <c r="K281" i="1" s="1"/>
  <c r="M281" i="1" s="1"/>
  <c r="P280" i="1"/>
  <c r="S280" i="1" s="1"/>
  <c r="E280" i="1"/>
  <c r="H280" i="1" s="1"/>
  <c r="V278" i="1"/>
  <c r="U278" i="1"/>
  <c r="T278" i="1"/>
  <c r="R278" i="1"/>
  <c r="Q278" i="1"/>
  <c r="L278" i="1"/>
  <c r="I278" i="1"/>
  <c r="G278" i="1"/>
  <c r="F278" i="1"/>
  <c r="D278" i="1"/>
  <c r="C278" i="1"/>
  <c r="P277" i="1"/>
  <c r="S277" i="1" s="1"/>
  <c r="W277" i="1" s="1"/>
  <c r="Y277" i="1" s="1"/>
  <c r="E277" i="1"/>
  <c r="H277" i="1" s="1"/>
  <c r="H275" i="1" s="1"/>
  <c r="V275" i="1"/>
  <c r="U275" i="1"/>
  <c r="T275" i="1"/>
  <c r="R275" i="1"/>
  <c r="Q275" i="1"/>
  <c r="O275" i="1"/>
  <c r="L275" i="1"/>
  <c r="J275" i="1"/>
  <c r="I275" i="1"/>
  <c r="G275" i="1"/>
  <c r="F275" i="1"/>
  <c r="D275" i="1"/>
  <c r="C275" i="1"/>
  <c r="R271" i="1"/>
  <c r="R266" i="1" s="1"/>
  <c r="O271" i="1"/>
  <c r="P271" i="1" s="1"/>
  <c r="J271" i="1"/>
  <c r="G271" i="1"/>
  <c r="F271" i="1"/>
  <c r="F266" i="1" s="1"/>
  <c r="E271" i="1"/>
  <c r="P270" i="1"/>
  <c r="S270" i="1" s="1"/>
  <c r="W270" i="1" s="1"/>
  <c r="E270" i="1"/>
  <c r="H270" i="1" s="1"/>
  <c r="K270" i="1" s="1"/>
  <c r="N270" i="1" s="1"/>
  <c r="P269" i="1"/>
  <c r="S269" i="1" s="1"/>
  <c r="W269" i="1" s="1"/>
  <c r="E269" i="1"/>
  <c r="H269" i="1" s="1"/>
  <c r="K269" i="1" s="1"/>
  <c r="V268" i="1"/>
  <c r="V266" i="1" s="1"/>
  <c r="P268" i="1"/>
  <c r="S268" i="1" s="1"/>
  <c r="J268" i="1"/>
  <c r="G268" i="1"/>
  <c r="E268" i="1"/>
  <c r="U266" i="1"/>
  <c r="T266" i="1"/>
  <c r="Q266" i="1"/>
  <c r="L266" i="1"/>
  <c r="I266" i="1"/>
  <c r="D266" i="1"/>
  <c r="C266" i="1"/>
  <c r="V265" i="1"/>
  <c r="V261" i="1" s="1"/>
  <c r="R265" i="1"/>
  <c r="P265" i="1"/>
  <c r="J265" i="1"/>
  <c r="J261" i="1" s="1"/>
  <c r="G265" i="1"/>
  <c r="D265" i="1"/>
  <c r="E265" i="1" s="1"/>
  <c r="R264" i="1"/>
  <c r="P264" i="1"/>
  <c r="G264" i="1"/>
  <c r="E264" i="1"/>
  <c r="P263" i="1"/>
  <c r="S263" i="1" s="1"/>
  <c r="G263" i="1"/>
  <c r="E263" i="1"/>
  <c r="U261" i="1"/>
  <c r="T261" i="1"/>
  <c r="Q261" i="1"/>
  <c r="O261" i="1"/>
  <c r="L261" i="1"/>
  <c r="I261" i="1"/>
  <c r="F261" i="1"/>
  <c r="C261" i="1"/>
  <c r="R260" i="1"/>
  <c r="P260" i="1"/>
  <c r="E260" i="1"/>
  <c r="H260" i="1" s="1"/>
  <c r="K260" i="1" s="1"/>
  <c r="R259" i="1"/>
  <c r="P259" i="1"/>
  <c r="E259" i="1"/>
  <c r="H259" i="1" s="1"/>
  <c r="K259" i="1" s="1"/>
  <c r="N259" i="1" s="1"/>
  <c r="P258" i="1"/>
  <c r="S258" i="1" s="1"/>
  <c r="E258" i="1"/>
  <c r="H258" i="1" s="1"/>
  <c r="V256" i="1"/>
  <c r="U256" i="1"/>
  <c r="T256" i="1"/>
  <c r="Q256" i="1"/>
  <c r="O256" i="1"/>
  <c r="L256" i="1"/>
  <c r="J256" i="1"/>
  <c r="I256" i="1"/>
  <c r="G256" i="1"/>
  <c r="F256" i="1"/>
  <c r="D256" i="1"/>
  <c r="C256" i="1"/>
  <c r="O255" i="1"/>
  <c r="P255" i="1" s="1"/>
  <c r="S255" i="1" s="1"/>
  <c r="W255" i="1" s="1"/>
  <c r="J255" i="1"/>
  <c r="J231" i="1" s="1"/>
  <c r="G255" i="1"/>
  <c r="G231" i="1" s="1"/>
  <c r="E255" i="1"/>
  <c r="P253" i="1"/>
  <c r="S253" i="1" s="1"/>
  <c r="W253" i="1" s="1"/>
  <c r="E253" i="1"/>
  <c r="H253" i="1" s="1"/>
  <c r="K253" i="1" s="1"/>
  <c r="N253" i="1" s="1"/>
  <c r="P250" i="1"/>
  <c r="S250" i="1" s="1"/>
  <c r="W250" i="1" s="1"/>
  <c r="E250" i="1"/>
  <c r="H250" i="1" s="1"/>
  <c r="K250" i="1" s="1"/>
  <c r="P249" i="1"/>
  <c r="S249" i="1" s="1"/>
  <c r="W249" i="1" s="1"/>
  <c r="E249" i="1"/>
  <c r="H249" i="1" s="1"/>
  <c r="K249" i="1" s="1"/>
  <c r="P248" i="1"/>
  <c r="S248" i="1" s="1"/>
  <c r="W248" i="1" s="1"/>
  <c r="E248" i="1"/>
  <c r="H248" i="1" s="1"/>
  <c r="K248" i="1" s="1"/>
  <c r="P247" i="1"/>
  <c r="S247" i="1" s="1"/>
  <c r="W247" i="1" s="1"/>
  <c r="E247" i="1"/>
  <c r="H247" i="1" s="1"/>
  <c r="K247" i="1" s="1"/>
  <c r="P246" i="1"/>
  <c r="S246" i="1" s="1"/>
  <c r="W246" i="1" s="1"/>
  <c r="E246" i="1"/>
  <c r="H246" i="1" s="1"/>
  <c r="K246" i="1" s="1"/>
  <c r="P245" i="1"/>
  <c r="S245" i="1" s="1"/>
  <c r="W245" i="1" s="1"/>
  <c r="E245" i="1"/>
  <c r="H245" i="1" s="1"/>
  <c r="K245" i="1" s="1"/>
  <c r="P244" i="1"/>
  <c r="S244" i="1" s="1"/>
  <c r="W244" i="1" s="1"/>
  <c r="E244" i="1"/>
  <c r="H244" i="1" s="1"/>
  <c r="K244" i="1" s="1"/>
  <c r="P243" i="1"/>
  <c r="S243" i="1" s="1"/>
  <c r="W243" i="1" s="1"/>
  <c r="E243" i="1"/>
  <c r="H243" i="1" s="1"/>
  <c r="K243" i="1" s="1"/>
  <c r="V240" i="1"/>
  <c r="V239" i="1"/>
  <c r="P239" i="1"/>
  <c r="S239" i="1" s="1"/>
  <c r="E239" i="1"/>
  <c r="H239" i="1" s="1"/>
  <c r="K239" i="1" s="1"/>
  <c r="P238" i="1"/>
  <c r="S238" i="1" s="1"/>
  <c r="W238" i="1" s="1"/>
  <c r="E238" i="1"/>
  <c r="H238" i="1" s="1"/>
  <c r="K238" i="1" s="1"/>
  <c r="M238" i="1" s="1"/>
  <c r="P237" i="1"/>
  <c r="S237" i="1" s="1"/>
  <c r="W237" i="1" s="1"/>
  <c r="P236" i="1"/>
  <c r="S236" i="1" s="1"/>
  <c r="W236" i="1" s="1"/>
  <c r="E236" i="1"/>
  <c r="H236" i="1" s="1"/>
  <c r="K236" i="1" s="1"/>
  <c r="P235" i="1"/>
  <c r="S235" i="1" s="1"/>
  <c r="W235" i="1" s="1"/>
  <c r="E235" i="1"/>
  <c r="H235" i="1" s="1"/>
  <c r="K235" i="1" s="1"/>
  <c r="P234" i="1"/>
  <c r="S234" i="1" s="1"/>
  <c r="E234" i="1"/>
  <c r="H234" i="1" s="1"/>
  <c r="K234" i="1" s="1"/>
  <c r="P233" i="1"/>
  <c r="S233" i="1" s="1"/>
  <c r="W233" i="1" s="1"/>
  <c r="E233" i="1"/>
  <c r="H233" i="1" s="1"/>
  <c r="U231" i="1"/>
  <c r="T231" i="1"/>
  <c r="R231" i="1"/>
  <c r="Q231" i="1"/>
  <c r="L231" i="1"/>
  <c r="I231" i="1"/>
  <c r="F231" i="1"/>
  <c r="D231" i="1"/>
  <c r="C231" i="1"/>
  <c r="V227" i="1"/>
  <c r="R230" i="1"/>
  <c r="R227" i="1" s="1"/>
  <c r="O230" i="1"/>
  <c r="P230" i="1" s="1"/>
  <c r="J230" i="1"/>
  <c r="J227" i="1" s="1"/>
  <c r="G230" i="1"/>
  <c r="G227" i="1" s="1"/>
  <c r="D230" i="1"/>
  <c r="P229" i="1"/>
  <c r="S229" i="1" s="1"/>
  <c r="E229" i="1"/>
  <c r="H229" i="1" s="1"/>
  <c r="U227" i="1"/>
  <c r="T227" i="1"/>
  <c r="Q227" i="1"/>
  <c r="L227" i="1"/>
  <c r="I227" i="1"/>
  <c r="F227" i="1"/>
  <c r="C227" i="1"/>
  <c r="V226" i="1"/>
  <c r="R226" i="1"/>
  <c r="O226" i="1"/>
  <c r="P226" i="1" s="1"/>
  <c r="G226" i="1"/>
  <c r="D226" i="1"/>
  <c r="D177" i="1" s="1"/>
  <c r="S225" i="1"/>
  <c r="W225" i="1" s="1"/>
  <c r="V223" i="1"/>
  <c r="W223" i="1" s="1"/>
  <c r="V222" i="1"/>
  <c r="W222" i="1" s="1"/>
  <c r="V221" i="1"/>
  <c r="W221" i="1" s="1"/>
  <c r="W220" i="1"/>
  <c r="S218" i="1"/>
  <c r="W218" i="1" s="1"/>
  <c r="P217" i="1"/>
  <c r="S217" i="1" s="1"/>
  <c r="W217" i="1" s="1"/>
  <c r="E217" i="1"/>
  <c r="H217" i="1" s="1"/>
  <c r="K217" i="1" s="1"/>
  <c r="M217" i="1" s="1"/>
  <c r="P216" i="1"/>
  <c r="S216" i="1" s="1"/>
  <c r="W216" i="1" s="1"/>
  <c r="E216" i="1"/>
  <c r="H216" i="1" s="1"/>
  <c r="K216" i="1" s="1"/>
  <c r="N216" i="1" s="1"/>
  <c r="P215" i="1"/>
  <c r="S215" i="1" s="1"/>
  <c r="W215" i="1" s="1"/>
  <c r="E215" i="1"/>
  <c r="H215" i="1" s="1"/>
  <c r="K215" i="1" s="1"/>
  <c r="P214" i="1"/>
  <c r="S214" i="1" s="1"/>
  <c r="W214" i="1" s="1"/>
  <c r="E214" i="1"/>
  <c r="H214" i="1" s="1"/>
  <c r="K214" i="1" s="1"/>
  <c r="M214" i="1" s="1"/>
  <c r="R213" i="1"/>
  <c r="S213" i="1" s="1"/>
  <c r="W213" i="1" s="1"/>
  <c r="R212" i="1"/>
  <c r="S212" i="1" s="1"/>
  <c r="W212" i="1" s="1"/>
  <c r="O211" i="1"/>
  <c r="P211" i="1" s="1"/>
  <c r="S211" i="1" s="1"/>
  <c r="W211" i="1" s="1"/>
  <c r="P210" i="1"/>
  <c r="S210" i="1" s="1"/>
  <c r="W210" i="1" s="1"/>
  <c r="H210" i="1"/>
  <c r="K210" i="1" s="1"/>
  <c r="M210" i="1" s="1"/>
  <c r="P209" i="1"/>
  <c r="S209" i="1" s="1"/>
  <c r="W209" i="1" s="1"/>
  <c r="E209" i="1"/>
  <c r="H209" i="1" s="1"/>
  <c r="K209" i="1" s="1"/>
  <c r="M209" i="1" s="1"/>
  <c r="P208" i="1"/>
  <c r="S208" i="1" s="1"/>
  <c r="W208" i="1" s="1"/>
  <c r="E208" i="1"/>
  <c r="H208" i="1" s="1"/>
  <c r="K208" i="1" s="1"/>
  <c r="N208" i="1" s="1"/>
  <c r="P207" i="1"/>
  <c r="S207" i="1" s="1"/>
  <c r="W207" i="1" s="1"/>
  <c r="G207" i="1"/>
  <c r="E207" i="1"/>
  <c r="R206" i="1"/>
  <c r="S206" i="1" s="1"/>
  <c r="W206" i="1" s="1"/>
  <c r="P205" i="1"/>
  <c r="S205" i="1" s="1"/>
  <c r="W205" i="1" s="1"/>
  <c r="E205" i="1"/>
  <c r="H205" i="1" s="1"/>
  <c r="K205" i="1" s="1"/>
  <c r="P204" i="1"/>
  <c r="S204" i="1" s="1"/>
  <c r="W204" i="1" s="1"/>
  <c r="E204" i="1"/>
  <c r="H204" i="1" s="1"/>
  <c r="K204" i="1" s="1"/>
  <c r="M204" i="1" s="1"/>
  <c r="P203" i="1"/>
  <c r="S203" i="1" s="1"/>
  <c r="W203" i="1" s="1"/>
  <c r="E203" i="1"/>
  <c r="H203" i="1" s="1"/>
  <c r="K203" i="1" s="1"/>
  <c r="P202" i="1"/>
  <c r="S202" i="1" s="1"/>
  <c r="W202" i="1" s="1"/>
  <c r="E202" i="1"/>
  <c r="H202" i="1" s="1"/>
  <c r="K202" i="1" s="1"/>
  <c r="N202" i="1" s="1"/>
  <c r="P201" i="1"/>
  <c r="S201" i="1" s="1"/>
  <c r="W201" i="1" s="1"/>
  <c r="E201" i="1"/>
  <c r="H201" i="1" s="1"/>
  <c r="K201" i="1" s="1"/>
  <c r="P200" i="1"/>
  <c r="S200" i="1" s="1"/>
  <c r="W200" i="1" s="1"/>
  <c r="M200" i="1"/>
  <c r="P199" i="1"/>
  <c r="S199" i="1" s="1"/>
  <c r="W199" i="1" s="1"/>
  <c r="E199" i="1"/>
  <c r="H199" i="1" s="1"/>
  <c r="K199" i="1" s="1"/>
  <c r="N199" i="1" s="1"/>
  <c r="P198" i="1"/>
  <c r="S198" i="1" s="1"/>
  <c r="W198" i="1" s="1"/>
  <c r="E198" i="1"/>
  <c r="H198" i="1" s="1"/>
  <c r="K198" i="1" s="1"/>
  <c r="M198" i="1" s="1"/>
  <c r="P197" i="1"/>
  <c r="S197" i="1" s="1"/>
  <c r="W197" i="1" s="1"/>
  <c r="E197" i="1"/>
  <c r="H197" i="1" s="1"/>
  <c r="K197" i="1" s="1"/>
  <c r="N197" i="1" s="1"/>
  <c r="P196" i="1"/>
  <c r="S196" i="1" s="1"/>
  <c r="W196" i="1" s="1"/>
  <c r="E196" i="1"/>
  <c r="H196" i="1" s="1"/>
  <c r="K196" i="1" s="1"/>
  <c r="M196" i="1" s="1"/>
  <c r="R195" i="1"/>
  <c r="S195" i="1" s="1"/>
  <c r="W195" i="1" s="1"/>
  <c r="P194" i="1"/>
  <c r="S194" i="1" s="1"/>
  <c r="W194" i="1" s="1"/>
  <c r="E194" i="1"/>
  <c r="H194" i="1" s="1"/>
  <c r="K194" i="1" s="1"/>
  <c r="R193" i="1"/>
  <c r="S193" i="1" s="1"/>
  <c r="W193" i="1" s="1"/>
  <c r="P192" i="1"/>
  <c r="S192" i="1" s="1"/>
  <c r="W192" i="1" s="1"/>
  <c r="E192" i="1"/>
  <c r="H192" i="1" s="1"/>
  <c r="K192" i="1" s="1"/>
  <c r="N192" i="1" s="1"/>
  <c r="P191" i="1"/>
  <c r="S191" i="1" s="1"/>
  <c r="W191" i="1" s="1"/>
  <c r="E191" i="1"/>
  <c r="H191" i="1" s="1"/>
  <c r="K191" i="1" s="1"/>
  <c r="N191" i="1" s="1"/>
  <c r="R190" i="1"/>
  <c r="S190" i="1" s="1"/>
  <c r="W190" i="1" s="1"/>
  <c r="P189" i="1"/>
  <c r="S189" i="1" s="1"/>
  <c r="W189" i="1" s="1"/>
  <c r="E189" i="1"/>
  <c r="H189" i="1" s="1"/>
  <c r="K189" i="1" s="1"/>
  <c r="M189" i="1" s="1"/>
  <c r="P188" i="1"/>
  <c r="S188" i="1" s="1"/>
  <c r="W188" i="1" s="1"/>
  <c r="E188" i="1"/>
  <c r="H188" i="1" s="1"/>
  <c r="K188" i="1" s="1"/>
  <c r="R187" i="1"/>
  <c r="S187" i="1" s="1"/>
  <c r="W187" i="1" s="1"/>
  <c r="R186" i="1"/>
  <c r="S186" i="1" s="1"/>
  <c r="W186" i="1" s="1"/>
  <c r="P185" i="1"/>
  <c r="S185" i="1" s="1"/>
  <c r="W185" i="1" s="1"/>
  <c r="E185" i="1"/>
  <c r="H185" i="1" s="1"/>
  <c r="K185" i="1" s="1"/>
  <c r="M185" i="1" s="1"/>
  <c r="P184" i="1"/>
  <c r="S184" i="1" s="1"/>
  <c r="W184" i="1" s="1"/>
  <c r="E184" i="1"/>
  <c r="H184" i="1" s="1"/>
  <c r="K184" i="1" s="1"/>
  <c r="M184" i="1" s="1"/>
  <c r="P182" i="1"/>
  <c r="S182" i="1" s="1"/>
  <c r="W182" i="1" s="1"/>
  <c r="E182" i="1"/>
  <c r="H182" i="1" s="1"/>
  <c r="K182" i="1" s="1"/>
  <c r="M182" i="1" s="1"/>
  <c r="P181" i="1"/>
  <c r="S181" i="1" s="1"/>
  <c r="W181" i="1" s="1"/>
  <c r="E181" i="1"/>
  <c r="H181" i="1" s="1"/>
  <c r="K181" i="1" s="1"/>
  <c r="N181" i="1" s="1"/>
  <c r="V179" i="1"/>
  <c r="P179" i="1"/>
  <c r="J179" i="1"/>
  <c r="J177" i="1" s="1"/>
  <c r="G179" i="1"/>
  <c r="E179" i="1"/>
  <c r="U177" i="1"/>
  <c r="T177" i="1"/>
  <c r="Q177" i="1"/>
  <c r="L177" i="1"/>
  <c r="I177" i="1"/>
  <c r="F177" i="1"/>
  <c r="C177" i="1"/>
  <c r="P176" i="1"/>
  <c r="S176" i="1" s="1"/>
  <c r="W176" i="1" s="1"/>
  <c r="G176" i="1"/>
  <c r="G167" i="1" s="1"/>
  <c r="E176" i="1"/>
  <c r="P175" i="1"/>
  <c r="S175" i="1" s="1"/>
  <c r="W175" i="1" s="1"/>
  <c r="E175" i="1"/>
  <c r="H175" i="1" s="1"/>
  <c r="K175" i="1" s="1"/>
  <c r="P174" i="1"/>
  <c r="S174" i="1" s="1"/>
  <c r="W174" i="1" s="1"/>
  <c r="E174" i="1"/>
  <c r="H174" i="1" s="1"/>
  <c r="K174" i="1" s="1"/>
  <c r="P173" i="1"/>
  <c r="S173" i="1" s="1"/>
  <c r="W173" i="1" s="1"/>
  <c r="E173" i="1"/>
  <c r="H173" i="1" s="1"/>
  <c r="K173" i="1" s="1"/>
  <c r="P172" i="1"/>
  <c r="S172" i="1" s="1"/>
  <c r="W172" i="1" s="1"/>
  <c r="E172" i="1"/>
  <c r="H172" i="1" s="1"/>
  <c r="K172" i="1" s="1"/>
  <c r="P171" i="1"/>
  <c r="S171" i="1" s="1"/>
  <c r="W171" i="1" s="1"/>
  <c r="E171" i="1"/>
  <c r="H171" i="1" s="1"/>
  <c r="K171" i="1" s="1"/>
  <c r="M171" i="1" s="1"/>
  <c r="R170" i="1"/>
  <c r="R167" i="1" s="1"/>
  <c r="O170" i="1"/>
  <c r="O167" i="1" s="1"/>
  <c r="E170" i="1"/>
  <c r="H170" i="1" s="1"/>
  <c r="K170" i="1" s="1"/>
  <c r="M170" i="1" s="1"/>
  <c r="P169" i="1"/>
  <c r="S169" i="1" s="1"/>
  <c r="W169" i="1" s="1"/>
  <c r="E169" i="1"/>
  <c r="H169" i="1" s="1"/>
  <c r="V167" i="1"/>
  <c r="U167" i="1"/>
  <c r="T167" i="1"/>
  <c r="Q167" i="1"/>
  <c r="L167" i="1"/>
  <c r="J167" i="1"/>
  <c r="I167" i="1"/>
  <c r="F167" i="1"/>
  <c r="D167" i="1"/>
  <c r="C167" i="1"/>
  <c r="R166" i="1"/>
  <c r="P166" i="1"/>
  <c r="E166" i="1"/>
  <c r="H166" i="1" s="1"/>
  <c r="K166" i="1" s="1"/>
  <c r="S165" i="1"/>
  <c r="W165" i="1" s="1"/>
  <c r="S164" i="1"/>
  <c r="W164" i="1" s="1"/>
  <c r="P163" i="1"/>
  <c r="S163" i="1" s="1"/>
  <c r="W163" i="1" s="1"/>
  <c r="E163" i="1"/>
  <c r="H163" i="1" s="1"/>
  <c r="K163" i="1" s="1"/>
  <c r="P162" i="1"/>
  <c r="S162" i="1" s="1"/>
  <c r="W162" i="1" s="1"/>
  <c r="E162" i="1"/>
  <c r="H162" i="1" s="1"/>
  <c r="K162" i="1" s="1"/>
  <c r="M162" i="1" s="1"/>
  <c r="P161" i="1"/>
  <c r="S161" i="1" s="1"/>
  <c r="W161" i="1" s="1"/>
  <c r="E161" i="1"/>
  <c r="H161" i="1" s="1"/>
  <c r="K161" i="1" s="1"/>
  <c r="P160" i="1"/>
  <c r="S160" i="1" s="1"/>
  <c r="W160" i="1" s="1"/>
  <c r="E160" i="1"/>
  <c r="H160" i="1" s="1"/>
  <c r="K160" i="1" s="1"/>
  <c r="P159" i="1"/>
  <c r="S159" i="1" s="1"/>
  <c r="W159" i="1" s="1"/>
  <c r="E159" i="1"/>
  <c r="H159" i="1" s="1"/>
  <c r="K159" i="1" s="1"/>
  <c r="O158" i="1"/>
  <c r="P158" i="1" s="1"/>
  <c r="S158" i="1" s="1"/>
  <c r="W158" i="1" s="1"/>
  <c r="G158" i="1"/>
  <c r="E158" i="1"/>
  <c r="P157" i="1"/>
  <c r="S157" i="1" s="1"/>
  <c r="W157" i="1" s="1"/>
  <c r="E157" i="1"/>
  <c r="H157" i="1" s="1"/>
  <c r="K157" i="1" s="1"/>
  <c r="M157" i="1" s="1"/>
  <c r="V154" i="1"/>
  <c r="R156" i="1"/>
  <c r="O156" i="1"/>
  <c r="P156" i="1" s="1"/>
  <c r="J156" i="1"/>
  <c r="J154" i="1" s="1"/>
  <c r="G156" i="1"/>
  <c r="E156" i="1"/>
  <c r="U154" i="1"/>
  <c r="T154" i="1"/>
  <c r="Q154" i="1"/>
  <c r="L154" i="1"/>
  <c r="I154" i="1"/>
  <c r="F154" i="1"/>
  <c r="D154" i="1"/>
  <c r="C154" i="1"/>
  <c r="R153" i="1"/>
  <c r="O153" i="1"/>
  <c r="P153" i="1" s="1"/>
  <c r="J153" i="1"/>
  <c r="G153" i="1"/>
  <c r="D153" i="1"/>
  <c r="E153" i="1" s="1"/>
  <c r="V152" i="1"/>
  <c r="W152" i="1" s="1"/>
  <c r="S151" i="1"/>
  <c r="W151" i="1" s="1"/>
  <c r="P150" i="1"/>
  <c r="S150" i="1" s="1"/>
  <c r="W150" i="1" s="1"/>
  <c r="E150" i="1"/>
  <c r="H150" i="1" s="1"/>
  <c r="K150" i="1" s="1"/>
  <c r="N150" i="1" s="1"/>
  <c r="P149" i="1"/>
  <c r="S149" i="1" s="1"/>
  <c r="W149" i="1" s="1"/>
  <c r="E149" i="1"/>
  <c r="H149" i="1" s="1"/>
  <c r="K149" i="1" s="1"/>
  <c r="P148" i="1"/>
  <c r="S148" i="1" s="1"/>
  <c r="W148" i="1" s="1"/>
  <c r="E148" i="1"/>
  <c r="H148" i="1" s="1"/>
  <c r="K148" i="1" s="1"/>
  <c r="P147" i="1"/>
  <c r="S147" i="1" s="1"/>
  <c r="W147" i="1" s="1"/>
  <c r="E147" i="1"/>
  <c r="H147" i="1" s="1"/>
  <c r="K147" i="1" s="1"/>
  <c r="M147" i="1" s="1"/>
  <c r="P146" i="1"/>
  <c r="S146" i="1" s="1"/>
  <c r="W146" i="1" s="1"/>
  <c r="E146" i="1"/>
  <c r="H146" i="1" s="1"/>
  <c r="K146" i="1" s="1"/>
  <c r="N146" i="1" s="1"/>
  <c r="P144" i="1"/>
  <c r="S144" i="1" s="1"/>
  <c r="W144" i="1" s="1"/>
  <c r="E144" i="1"/>
  <c r="H144" i="1" s="1"/>
  <c r="K144" i="1" s="1"/>
  <c r="M144" i="1" s="1"/>
  <c r="P143" i="1"/>
  <c r="S143" i="1" s="1"/>
  <c r="W143" i="1" s="1"/>
  <c r="E143" i="1"/>
  <c r="H143" i="1" s="1"/>
  <c r="K143" i="1" s="1"/>
  <c r="N143" i="1" s="1"/>
  <c r="P142" i="1"/>
  <c r="S142" i="1" s="1"/>
  <c r="W142" i="1" s="1"/>
  <c r="E142" i="1"/>
  <c r="H142" i="1" s="1"/>
  <c r="K142" i="1" s="1"/>
  <c r="M142" i="1" s="1"/>
  <c r="P141" i="1"/>
  <c r="S141" i="1" s="1"/>
  <c r="W141" i="1" s="1"/>
  <c r="E141" i="1"/>
  <c r="H141" i="1" s="1"/>
  <c r="K141" i="1" s="1"/>
  <c r="N141" i="1" s="1"/>
  <c r="P140" i="1"/>
  <c r="S140" i="1" s="1"/>
  <c r="W140" i="1" s="1"/>
  <c r="M140" i="1"/>
  <c r="P139" i="1"/>
  <c r="S139" i="1" s="1"/>
  <c r="W139" i="1" s="1"/>
  <c r="E139" i="1"/>
  <c r="H139" i="1" s="1"/>
  <c r="K139" i="1" s="1"/>
  <c r="P138" i="1"/>
  <c r="S138" i="1" s="1"/>
  <c r="W138" i="1" s="1"/>
  <c r="E138" i="1"/>
  <c r="H138" i="1" s="1"/>
  <c r="K138" i="1" s="1"/>
  <c r="N138" i="1" s="1"/>
  <c r="R137" i="1"/>
  <c r="S137" i="1" s="1"/>
  <c r="W137" i="1" s="1"/>
  <c r="S136" i="1"/>
  <c r="W136" i="1" s="1"/>
  <c r="P133" i="1"/>
  <c r="S133" i="1" s="1"/>
  <c r="W133" i="1" s="1"/>
  <c r="E133" i="1"/>
  <c r="H133" i="1" s="1"/>
  <c r="K133" i="1" s="1"/>
  <c r="M133" i="1" s="1"/>
  <c r="R132" i="1"/>
  <c r="S132" i="1" s="1"/>
  <c r="W132" i="1" s="1"/>
  <c r="P131" i="1"/>
  <c r="S131" i="1" s="1"/>
  <c r="W131" i="1" s="1"/>
  <c r="E131" i="1"/>
  <c r="H131" i="1" s="1"/>
  <c r="K131" i="1" s="1"/>
  <c r="N131" i="1" s="1"/>
  <c r="W130" i="1"/>
  <c r="P129" i="1"/>
  <c r="S129" i="1" s="1"/>
  <c r="W129" i="1" s="1"/>
  <c r="M129" i="1"/>
  <c r="P128" i="1"/>
  <c r="S128" i="1" s="1"/>
  <c r="W128" i="1" s="1"/>
  <c r="M128" i="1"/>
  <c r="P127" i="1"/>
  <c r="S127" i="1" s="1"/>
  <c r="W127" i="1" s="1"/>
  <c r="M127" i="1"/>
  <c r="P126" i="1"/>
  <c r="S126" i="1" s="1"/>
  <c r="W126" i="1" s="1"/>
  <c r="E126" i="1"/>
  <c r="H126" i="1" s="1"/>
  <c r="K126" i="1" s="1"/>
  <c r="N126" i="1" s="1"/>
  <c r="R125" i="1"/>
  <c r="S125" i="1" s="1"/>
  <c r="W125" i="1" s="1"/>
  <c r="P124" i="1"/>
  <c r="S124" i="1" s="1"/>
  <c r="W124" i="1" s="1"/>
  <c r="E124" i="1"/>
  <c r="H124" i="1" s="1"/>
  <c r="K124" i="1" s="1"/>
  <c r="M124" i="1" s="1"/>
  <c r="P122" i="1"/>
  <c r="S122" i="1" s="1"/>
  <c r="W122" i="1" s="1"/>
  <c r="E122" i="1"/>
  <c r="H122" i="1" s="1"/>
  <c r="K122" i="1" s="1"/>
  <c r="N122" i="1" s="1"/>
  <c r="R121" i="1"/>
  <c r="S121" i="1" s="1"/>
  <c r="W121" i="1" s="1"/>
  <c r="P120" i="1"/>
  <c r="S120" i="1" s="1"/>
  <c r="W120" i="1" s="1"/>
  <c r="E120" i="1"/>
  <c r="H120" i="1" s="1"/>
  <c r="K120" i="1" s="1"/>
  <c r="R119" i="1"/>
  <c r="S119" i="1" s="1"/>
  <c r="W119" i="1" s="1"/>
  <c r="P118" i="1"/>
  <c r="S118" i="1" s="1"/>
  <c r="W118" i="1" s="1"/>
  <c r="E118" i="1"/>
  <c r="H118" i="1" s="1"/>
  <c r="K118" i="1" s="1"/>
  <c r="S117" i="1"/>
  <c r="W117" i="1" s="1"/>
  <c r="S116" i="1"/>
  <c r="W116" i="1" s="1"/>
  <c r="P115" i="1"/>
  <c r="S115" i="1" s="1"/>
  <c r="W115" i="1" s="1"/>
  <c r="E115" i="1"/>
  <c r="H115" i="1" s="1"/>
  <c r="K115" i="1" s="1"/>
  <c r="P114" i="1"/>
  <c r="S114" i="1" s="1"/>
  <c r="W114" i="1" s="1"/>
  <c r="E114" i="1"/>
  <c r="H114" i="1" s="1"/>
  <c r="K114" i="1" s="1"/>
  <c r="P112" i="1"/>
  <c r="S112" i="1" s="1"/>
  <c r="W112" i="1" s="1"/>
  <c r="E112" i="1"/>
  <c r="H112" i="1" s="1"/>
  <c r="K112" i="1" s="1"/>
  <c r="N112" i="1" s="1"/>
  <c r="P111" i="1"/>
  <c r="S111" i="1" s="1"/>
  <c r="W111" i="1" s="1"/>
  <c r="E111" i="1"/>
  <c r="H111" i="1" s="1"/>
  <c r="K111" i="1" s="1"/>
  <c r="M111" i="1" s="1"/>
  <c r="P109" i="1"/>
  <c r="S109" i="1" s="1"/>
  <c r="W109" i="1" s="1"/>
  <c r="E109" i="1"/>
  <c r="H109" i="1" s="1"/>
  <c r="K109" i="1" s="1"/>
  <c r="N109" i="1" s="1"/>
  <c r="P108" i="1"/>
  <c r="S108" i="1" s="1"/>
  <c r="W108" i="1" s="1"/>
  <c r="E108" i="1"/>
  <c r="H108" i="1" s="1"/>
  <c r="K108" i="1" s="1"/>
  <c r="M108" i="1" s="1"/>
  <c r="V107" i="1"/>
  <c r="W107" i="1" s="1"/>
  <c r="P106" i="1"/>
  <c r="S106" i="1" s="1"/>
  <c r="W106" i="1" s="1"/>
  <c r="E106" i="1"/>
  <c r="H106" i="1" s="1"/>
  <c r="K106" i="1" s="1"/>
  <c r="M106" i="1" s="1"/>
  <c r="O105" i="1"/>
  <c r="P105" i="1" s="1"/>
  <c r="S105" i="1" s="1"/>
  <c r="W105" i="1" s="1"/>
  <c r="P104" i="1"/>
  <c r="S104" i="1" s="1"/>
  <c r="W104" i="1" s="1"/>
  <c r="E104" i="1"/>
  <c r="H104" i="1" s="1"/>
  <c r="K104" i="1" s="1"/>
  <c r="P103" i="1"/>
  <c r="S103" i="1" s="1"/>
  <c r="W103" i="1" s="1"/>
  <c r="E103" i="1"/>
  <c r="H103" i="1" s="1"/>
  <c r="K103" i="1" s="1"/>
  <c r="P102" i="1"/>
  <c r="S102" i="1" s="1"/>
  <c r="W102" i="1" s="1"/>
  <c r="E102" i="1"/>
  <c r="H102" i="1" s="1"/>
  <c r="K102" i="1" s="1"/>
  <c r="V101" i="1"/>
  <c r="W101" i="1" s="1"/>
  <c r="P100" i="1"/>
  <c r="S100" i="1" s="1"/>
  <c r="W100" i="1" s="1"/>
  <c r="E100" i="1"/>
  <c r="H100" i="1" s="1"/>
  <c r="K100" i="1" s="1"/>
  <c r="N100" i="1" s="1"/>
  <c r="P98" i="1"/>
  <c r="S98" i="1" s="1"/>
  <c r="W98" i="1" s="1"/>
  <c r="E98" i="1"/>
  <c r="H98" i="1" s="1"/>
  <c r="K98" i="1" s="1"/>
  <c r="M98" i="1" s="1"/>
  <c r="R97" i="1"/>
  <c r="S97" i="1" s="1"/>
  <c r="W97" i="1" s="1"/>
  <c r="P96" i="1"/>
  <c r="S96" i="1" s="1"/>
  <c r="W96" i="1" s="1"/>
  <c r="E96" i="1"/>
  <c r="H96" i="1" s="1"/>
  <c r="K96" i="1" s="1"/>
  <c r="N96" i="1" s="1"/>
  <c r="O95" i="1"/>
  <c r="P95" i="1" s="1"/>
  <c r="S95" i="1" s="1"/>
  <c r="W95" i="1" s="1"/>
  <c r="P94" i="1"/>
  <c r="S94" i="1" s="1"/>
  <c r="W94" i="1" s="1"/>
  <c r="E94" i="1"/>
  <c r="H94" i="1" s="1"/>
  <c r="K94" i="1" s="1"/>
  <c r="V93" i="1"/>
  <c r="W93" i="1" s="1"/>
  <c r="P92" i="1"/>
  <c r="S92" i="1" s="1"/>
  <c r="W92" i="1" s="1"/>
  <c r="E92" i="1"/>
  <c r="H92" i="1" s="1"/>
  <c r="K92" i="1" s="1"/>
  <c r="N92" i="1" s="1"/>
  <c r="R91" i="1"/>
  <c r="S91" i="1" s="1"/>
  <c r="W91" i="1" s="1"/>
  <c r="P90" i="1"/>
  <c r="S90" i="1" s="1"/>
  <c r="W90" i="1" s="1"/>
  <c r="E90" i="1"/>
  <c r="H90" i="1" s="1"/>
  <c r="K90" i="1" s="1"/>
  <c r="M90" i="1" s="1"/>
  <c r="P89" i="1"/>
  <c r="S89" i="1" s="1"/>
  <c r="W89" i="1" s="1"/>
  <c r="E89" i="1"/>
  <c r="H89" i="1" s="1"/>
  <c r="K89" i="1" s="1"/>
  <c r="N89" i="1" s="1"/>
  <c r="P87" i="1"/>
  <c r="S87" i="1" s="1"/>
  <c r="W87" i="1" s="1"/>
  <c r="E87" i="1"/>
  <c r="H87" i="1" s="1"/>
  <c r="K87" i="1" s="1"/>
  <c r="P86" i="1"/>
  <c r="S86" i="1" s="1"/>
  <c r="W86" i="1" s="1"/>
  <c r="E86" i="1"/>
  <c r="H86" i="1" s="1"/>
  <c r="K86" i="1" s="1"/>
  <c r="N86" i="1" s="1"/>
  <c r="W85" i="1"/>
  <c r="P84" i="1"/>
  <c r="S84" i="1" s="1"/>
  <c r="W84" i="1" s="1"/>
  <c r="E84" i="1"/>
  <c r="H84" i="1" s="1"/>
  <c r="K84" i="1" s="1"/>
  <c r="W83" i="1"/>
  <c r="P82" i="1"/>
  <c r="S82" i="1" s="1"/>
  <c r="W82" i="1" s="1"/>
  <c r="E82" i="1"/>
  <c r="H82" i="1" s="1"/>
  <c r="K82" i="1" s="1"/>
  <c r="N82" i="1" s="1"/>
  <c r="P81" i="1"/>
  <c r="S81" i="1" s="1"/>
  <c r="W81" i="1" s="1"/>
  <c r="E81" i="1"/>
  <c r="H81" i="1" s="1"/>
  <c r="K81" i="1" s="1"/>
  <c r="P80" i="1"/>
  <c r="S80" i="1" s="1"/>
  <c r="W80" i="1" s="1"/>
  <c r="E80" i="1"/>
  <c r="H80" i="1" s="1"/>
  <c r="K80" i="1" s="1"/>
  <c r="V79" i="1"/>
  <c r="W79" i="1" s="1"/>
  <c r="P78" i="1"/>
  <c r="S78" i="1" s="1"/>
  <c r="W78" i="1" s="1"/>
  <c r="E78" i="1"/>
  <c r="H78" i="1" s="1"/>
  <c r="K78" i="1" s="1"/>
  <c r="P77" i="1"/>
  <c r="S77" i="1" s="1"/>
  <c r="W77" i="1" s="1"/>
  <c r="F77" i="1"/>
  <c r="F70" i="1" s="1"/>
  <c r="E77" i="1"/>
  <c r="P76" i="1"/>
  <c r="S76" i="1" s="1"/>
  <c r="W76" i="1" s="1"/>
  <c r="E76" i="1"/>
  <c r="H76" i="1" s="1"/>
  <c r="K76" i="1" s="1"/>
  <c r="P75" i="1"/>
  <c r="S75" i="1" s="1"/>
  <c r="W75" i="1" s="1"/>
  <c r="E75" i="1"/>
  <c r="H75" i="1" s="1"/>
  <c r="K75" i="1" s="1"/>
  <c r="N75" i="1" s="1"/>
  <c r="P74" i="1"/>
  <c r="S74" i="1" s="1"/>
  <c r="W74" i="1" s="1"/>
  <c r="E74" i="1"/>
  <c r="H74" i="1" s="1"/>
  <c r="K74" i="1" s="1"/>
  <c r="R73" i="1"/>
  <c r="O73" i="1"/>
  <c r="P73" i="1" s="1"/>
  <c r="J73" i="1"/>
  <c r="G73" i="1"/>
  <c r="D73" i="1"/>
  <c r="E73" i="1" s="1"/>
  <c r="P72" i="1"/>
  <c r="S72" i="1" s="1"/>
  <c r="W72" i="1" s="1"/>
  <c r="E72" i="1"/>
  <c r="H72" i="1" s="1"/>
  <c r="U70" i="1"/>
  <c r="T70" i="1"/>
  <c r="Q70" i="1"/>
  <c r="L70" i="1"/>
  <c r="I70" i="1"/>
  <c r="C70" i="1"/>
  <c r="P69" i="1"/>
  <c r="S69" i="1" s="1"/>
  <c r="W69" i="1" s="1"/>
  <c r="E69" i="1"/>
  <c r="H69" i="1" s="1"/>
  <c r="K69" i="1" s="1"/>
  <c r="M69" i="1" s="1"/>
  <c r="P68" i="1"/>
  <c r="S68" i="1" s="1"/>
  <c r="W68" i="1" s="1"/>
  <c r="E68" i="1"/>
  <c r="H68" i="1" s="1"/>
  <c r="K68" i="1" s="1"/>
  <c r="M68" i="1" s="1"/>
  <c r="P67" i="1"/>
  <c r="S67" i="1" s="1"/>
  <c r="W67" i="1" s="1"/>
  <c r="E67" i="1"/>
  <c r="H67" i="1" s="1"/>
  <c r="V65" i="1"/>
  <c r="U65" i="1"/>
  <c r="T65" i="1"/>
  <c r="R65" i="1"/>
  <c r="Q65" i="1"/>
  <c r="O65" i="1"/>
  <c r="L65" i="1"/>
  <c r="J65" i="1"/>
  <c r="I65" i="1"/>
  <c r="G65" i="1"/>
  <c r="F65" i="1"/>
  <c r="D65" i="1"/>
  <c r="C65" i="1"/>
  <c r="V59" i="1"/>
  <c r="R64" i="1"/>
  <c r="O64" i="1"/>
  <c r="P64" i="1" s="1"/>
  <c r="J64" i="1"/>
  <c r="G64" i="1"/>
  <c r="D64" i="1"/>
  <c r="P63" i="1"/>
  <c r="S63" i="1" s="1"/>
  <c r="W63" i="1" s="1"/>
  <c r="Y63" i="1" s="1"/>
  <c r="M63" i="1"/>
  <c r="R62" i="1"/>
  <c r="O62" i="1"/>
  <c r="P62" i="1" s="1"/>
  <c r="J62" i="1"/>
  <c r="G62" i="1"/>
  <c r="D62" i="1"/>
  <c r="E62" i="1" s="1"/>
  <c r="P61" i="1"/>
  <c r="J61" i="1"/>
  <c r="E61" i="1"/>
  <c r="H61" i="1" s="1"/>
  <c r="U59" i="1"/>
  <c r="T59" i="1"/>
  <c r="Q59" i="1"/>
  <c r="L59" i="1"/>
  <c r="I59" i="1"/>
  <c r="F59" i="1"/>
  <c r="C59" i="1"/>
  <c r="O58" i="1"/>
  <c r="P58" i="1" s="1"/>
  <c r="S58" i="1" s="1"/>
  <c r="W58" i="1" s="1"/>
  <c r="G58" i="1"/>
  <c r="G51" i="1" s="1"/>
  <c r="D58" i="1"/>
  <c r="E58" i="1" s="1"/>
  <c r="S57" i="1"/>
  <c r="W57" i="1" s="1"/>
  <c r="P56" i="1"/>
  <c r="S56" i="1" s="1"/>
  <c r="W56" i="1" s="1"/>
  <c r="E56" i="1"/>
  <c r="H56" i="1" s="1"/>
  <c r="K56" i="1" s="1"/>
  <c r="U55" i="1"/>
  <c r="U51" i="1" s="1"/>
  <c r="P55" i="1"/>
  <c r="S55" i="1" s="1"/>
  <c r="F55" i="1"/>
  <c r="F51" i="1" s="1"/>
  <c r="E55" i="1"/>
  <c r="P54" i="1"/>
  <c r="S54" i="1" s="1"/>
  <c r="W54" i="1" s="1"/>
  <c r="E54" i="1"/>
  <c r="H54" i="1" s="1"/>
  <c r="K54" i="1" s="1"/>
  <c r="M54" i="1" s="1"/>
  <c r="O53" i="1"/>
  <c r="P53" i="1" s="1"/>
  <c r="D53" i="1"/>
  <c r="E53" i="1" s="1"/>
  <c r="H53" i="1" s="1"/>
  <c r="V51" i="1"/>
  <c r="T51" i="1"/>
  <c r="R51" i="1"/>
  <c r="Q51" i="1"/>
  <c r="L51" i="1"/>
  <c r="J51" i="1"/>
  <c r="I51" i="1"/>
  <c r="C51" i="1"/>
  <c r="P50" i="1"/>
  <c r="S50" i="1" s="1"/>
  <c r="W50" i="1" s="1"/>
  <c r="E50" i="1"/>
  <c r="H50" i="1" s="1"/>
  <c r="K50" i="1" s="1"/>
  <c r="M50" i="1" s="1"/>
  <c r="O49" i="1"/>
  <c r="P49" i="1" s="1"/>
  <c r="S49" i="1" s="1"/>
  <c r="W49" i="1" s="1"/>
  <c r="J49" i="1"/>
  <c r="E49" i="1"/>
  <c r="H49" i="1" s="1"/>
  <c r="P48" i="1"/>
  <c r="S48" i="1" s="1"/>
  <c r="W48" i="1" s="1"/>
  <c r="J48" i="1"/>
  <c r="G48" i="1"/>
  <c r="D48" i="1"/>
  <c r="D45" i="1" s="1"/>
  <c r="V47" i="1"/>
  <c r="V45" i="1" s="1"/>
  <c r="R47" i="1"/>
  <c r="R45" i="1" s="1"/>
  <c r="O47" i="1"/>
  <c r="P47" i="1" s="1"/>
  <c r="J47" i="1"/>
  <c r="G47" i="1"/>
  <c r="E47" i="1"/>
  <c r="U45" i="1"/>
  <c r="T45" i="1"/>
  <c r="Q45" i="1"/>
  <c r="L45" i="1"/>
  <c r="I45" i="1"/>
  <c r="F45" i="1"/>
  <c r="C45" i="1"/>
  <c r="R44" i="1"/>
  <c r="O44" i="1"/>
  <c r="P44" i="1" s="1"/>
  <c r="J44" i="1"/>
  <c r="I44" i="1"/>
  <c r="G44" i="1"/>
  <c r="D44" i="1"/>
  <c r="E44" i="1" s="1"/>
  <c r="R43" i="1"/>
  <c r="S43" i="1" s="1"/>
  <c r="W43" i="1" s="1"/>
  <c r="S42" i="1"/>
  <c r="W42" i="1" s="1"/>
  <c r="R41" i="1"/>
  <c r="S41" i="1" s="1"/>
  <c r="W41" i="1" s="1"/>
  <c r="P37" i="1"/>
  <c r="S37" i="1" s="1"/>
  <c r="W37" i="1" s="1"/>
  <c r="P36" i="1"/>
  <c r="S36" i="1" s="1"/>
  <c r="W36" i="1" s="1"/>
  <c r="S35" i="1"/>
  <c r="W35" i="1" s="1"/>
  <c r="P34" i="1"/>
  <c r="S34" i="1" s="1"/>
  <c r="W34" i="1" s="1"/>
  <c r="P33" i="1"/>
  <c r="S33" i="1" s="1"/>
  <c r="W33" i="1" s="1"/>
  <c r="O32" i="1"/>
  <c r="P32" i="1" s="1"/>
  <c r="S32" i="1" s="1"/>
  <c r="W32" i="1" s="1"/>
  <c r="S31" i="1"/>
  <c r="W31" i="1" s="1"/>
  <c r="P30" i="1"/>
  <c r="S30" i="1" s="1"/>
  <c r="W30" i="1" s="1"/>
  <c r="R29" i="1"/>
  <c r="S29" i="1" s="1"/>
  <c r="W29" i="1" s="1"/>
  <c r="O28" i="1"/>
  <c r="S27" i="1"/>
  <c r="W27" i="1" s="1"/>
  <c r="S26" i="1"/>
  <c r="W26" i="1" s="1"/>
  <c r="V24" i="1"/>
  <c r="U24" i="1"/>
  <c r="T24" i="1"/>
  <c r="Q24" i="1"/>
  <c r="M24" i="1"/>
  <c r="L24" i="1"/>
  <c r="J24" i="1"/>
  <c r="I24" i="1"/>
  <c r="H24" i="1"/>
  <c r="G24" i="1"/>
  <c r="F24" i="1"/>
  <c r="D24" i="1"/>
  <c r="C24" i="1"/>
  <c r="E24" i="1" s="1"/>
  <c r="V20" i="1"/>
  <c r="U20" i="1"/>
  <c r="T20" i="1"/>
  <c r="R20" i="1"/>
  <c r="Q20" i="1"/>
  <c r="L20" i="1"/>
  <c r="J20" i="1"/>
  <c r="I20" i="1"/>
  <c r="G20" i="1"/>
  <c r="F20" i="1"/>
  <c r="C20" i="1"/>
  <c r="P19" i="1"/>
  <c r="S19" i="1" s="1"/>
  <c r="W19" i="1" s="1"/>
  <c r="Y19" i="1" s="1"/>
  <c r="E19" i="1"/>
  <c r="H19" i="1" s="1"/>
  <c r="K19" i="1" s="1"/>
  <c r="N19" i="1" s="1"/>
  <c r="P18" i="1"/>
  <c r="S18" i="1" s="1"/>
  <c r="W18" i="1" s="1"/>
  <c r="M18" i="1"/>
  <c r="P16" i="1"/>
  <c r="S16" i="1" s="1"/>
  <c r="W16" i="1" s="1"/>
  <c r="Y16" i="1" s="1"/>
  <c r="E16" i="1"/>
  <c r="H16" i="1" s="1"/>
  <c r="K16" i="1" s="1"/>
  <c r="M16" i="1" s="1"/>
  <c r="P15" i="1"/>
  <c r="S15" i="1" s="1"/>
  <c r="W15" i="1" s="1"/>
  <c r="E15" i="1"/>
  <c r="H15" i="1" s="1"/>
  <c r="K15" i="1" s="1"/>
  <c r="M15" i="1" s="1"/>
  <c r="P14" i="1"/>
  <c r="S14" i="1" s="1"/>
  <c r="W14" i="1" s="1"/>
  <c r="E14" i="1"/>
  <c r="H14" i="1" s="1"/>
  <c r="K14" i="1" s="1"/>
  <c r="P13" i="1"/>
  <c r="S13" i="1" s="1"/>
  <c r="W13" i="1" s="1"/>
  <c r="E13" i="1"/>
  <c r="H13" i="1" s="1"/>
  <c r="K13" i="1" s="1"/>
  <c r="N13" i="1" s="1"/>
  <c r="O12" i="1"/>
  <c r="P12" i="1" s="1"/>
  <c r="S12" i="1" s="1"/>
  <c r="D12" i="1"/>
  <c r="D20" i="1" s="1"/>
  <c r="U9" i="1"/>
  <c r="U21" i="1" s="1"/>
  <c r="T9" i="1"/>
  <c r="Q9" i="1"/>
  <c r="L9" i="1"/>
  <c r="I9" i="1"/>
  <c r="C9" i="1"/>
  <c r="R8" i="1"/>
  <c r="O8" i="1"/>
  <c r="P8" i="1" s="1"/>
  <c r="J8" i="1"/>
  <c r="G8" i="1"/>
  <c r="D8" i="1"/>
  <c r="E8" i="1" s="1"/>
  <c r="P7" i="1"/>
  <c r="S7" i="1" s="1"/>
  <c r="W7" i="1" s="1"/>
  <c r="E7" i="1"/>
  <c r="H7" i="1" s="1"/>
  <c r="K7" i="1" s="1"/>
  <c r="R6" i="1"/>
  <c r="O6" i="1"/>
  <c r="J6" i="1"/>
  <c r="G6" i="1"/>
  <c r="D6" i="1"/>
  <c r="P5" i="1"/>
  <c r="S5" i="1" s="1"/>
  <c r="W5" i="1" s="1"/>
  <c r="F5" i="1"/>
  <c r="F9" i="1" s="1"/>
  <c r="E5" i="1"/>
  <c r="Z15" i="1" l="1"/>
  <c r="Y15" i="1"/>
  <c r="Z140" i="1"/>
  <c r="Y140" i="1"/>
  <c r="Y235" i="1"/>
  <c r="Z235" i="1"/>
  <c r="Y317" i="1"/>
  <c r="Z317" i="1"/>
  <c r="Z31" i="1"/>
  <c r="Y31" i="1"/>
  <c r="Y175" i="1"/>
  <c r="Z175" i="1"/>
  <c r="Z54" i="1"/>
  <c r="Y54" i="1"/>
  <c r="Y67" i="1"/>
  <c r="Z67" i="1"/>
  <c r="Y91" i="1"/>
  <c r="Z91" i="1"/>
  <c r="Y115" i="1"/>
  <c r="Z115" i="1"/>
  <c r="Y225" i="1"/>
  <c r="Z225" i="1"/>
  <c r="Z250" i="1"/>
  <c r="Y250" i="1"/>
  <c r="Y318" i="1"/>
  <c r="Z318" i="1"/>
  <c r="Y76" i="1"/>
  <c r="Z76" i="1"/>
  <c r="Y186" i="1"/>
  <c r="Z186" i="1"/>
  <c r="Z223" i="1"/>
  <c r="Y223" i="1"/>
  <c r="Z32" i="1"/>
  <c r="Y32" i="1"/>
  <c r="Z50" i="1"/>
  <c r="Y50" i="1"/>
  <c r="Y124" i="1"/>
  <c r="Z124" i="1"/>
  <c r="Y194" i="1"/>
  <c r="Z194" i="1"/>
  <c r="Y214" i="1"/>
  <c r="Z214" i="1"/>
  <c r="Y244" i="1"/>
  <c r="Z244" i="1"/>
  <c r="Y116" i="1"/>
  <c r="Z116" i="1"/>
  <c r="Y148" i="1"/>
  <c r="Z148" i="1"/>
  <c r="Z161" i="1"/>
  <c r="Y161" i="1"/>
  <c r="Z201" i="1"/>
  <c r="Y201" i="1"/>
  <c r="Y236" i="1"/>
  <c r="Z236" i="1"/>
  <c r="Z269" i="1"/>
  <c r="Y269" i="1"/>
  <c r="Z308" i="1"/>
  <c r="Y308" i="1"/>
  <c r="Y319" i="1"/>
  <c r="Z319" i="1"/>
  <c r="Y340" i="1"/>
  <c r="Z340" i="1"/>
  <c r="Z354" i="1"/>
  <c r="Y354" i="1"/>
  <c r="Y106" i="1"/>
  <c r="Z106" i="1"/>
  <c r="Y200" i="1"/>
  <c r="Z200" i="1"/>
  <c r="Y107" i="1"/>
  <c r="Z107" i="1"/>
  <c r="Y132" i="1"/>
  <c r="Z132" i="1"/>
  <c r="Y207" i="1"/>
  <c r="Z207" i="1"/>
  <c r="Z92" i="1"/>
  <c r="Y92" i="1"/>
  <c r="Y117" i="1"/>
  <c r="Z117" i="1"/>
  <c r="Z188" i="1"/>
  <c r="Y188" i="1"/>
  <c r="Z245" i="1"/>
  <c r="Y245" i="1"/>
  <c r="Z309" i="1"/>
  <c r="Y309" i="1"/>
  <c r="Y125" i="1"/>
  <c r="Z125" i="1"/>
  <c r="Y195" i="1"/>
  <c r="Z195" i="1"/>
  <c r="Z34" i="1"/>
  <c r="Y34" i="1"/>
  <c r="Y77" i="1"/>
  <c r="Z77" i="1"/>
  <c r="Z101" i="1"/>
  <c r="Y101" i="1"/>
  <c r="Z176" i="1"/>
  <c r="Y176" i="1"/>
  <c r="Y215" i="1"/>
  <c r="Z215" i="1"/>
  <c r="Y237" i="1"/>
  <c r="Z237" i="1"/>
  <c r="Z253" i="1"/>
  <c r="Y253" i="1"/>
  <c r="Y320" i="1"/>
  <c r="Z320" i="1"/>
  <c r="Z356" i="1"/>
  <c r="Y356" i="1"/>
  <c r="Z18" i="1"/>
  <c r="Y18" i="1"/>
  <c r="Z35" i="1"/>
  <c r="Y35" i="1"/>
  <c r="Y85" i="1"/>
  <c r="Z85" i="1"/>
  <c r="Z93" i="1"/>
  <c r="Y93" i="1"/>
  <c r="Y126" i="1"/>
  <c r="Z126" i="1"/>
  <c r="Y133" i="1"/>
  <c r="Z133" i="1"/>
  <c r="Z142" i="1"/>
  <c r="Y142" i="1"/>
  <c r="Y149" i="1"/>
  <c r="Z149" i="1"/>
  <c r="Z162" i="1"/>
  <c r="Y162" i="1"/>
  <c r="Y171" i="1"/>
  <c r="Z171" i="1"/>
  <c r="Y196" i="1"/>
  <c r="Z196" i="1"/>
  <c r="Z202" i="1"/>
  <c r="Y202" i="1"/>
  <c r="Z208" i="1"/>
  <c r="Y208" i="1"/>
  <c r="Z270" i="1"/>
  <c r="Y270" i="1"/>
  <c r="Z310" i="1"/>
  <c r="Y310" i="1"/>
  <c r="Y332" i="1"/>
  <c r="Z332" i="1"/>
  <c r="Y83" i="1"/>
  <c r="Z83" i="1"/>
  <c r="Z131" i="1"/>
  <c r="Y131" i="1"/>
  <c r="Y187" i="1"/>
  <c r="Z187" i="1"/>
  <c r="Z33" i="1"/>
  <c r="Y33" i="1"/>
  <c r="Z100" i="1"/>
  <c r="Y100" i="1"/>
  <c r="Z141" i="1"/>
  <c r="Y141" i="1"/>
  <c r="Y68" i="1"/>
  <c r="Z68" i="1"/>
  <c r="Y84" i="1"/>
  <c r="Z84" i="1"/>
  <c r="Y108" i="1"/>
  <c r="Z108" i="1"/>
  <c r="Z7" i="1"/>
  <c r="Y7" i="1"/>
  <c r="Z36" i="1"/>
  <c r="Y36" i="1"/>
  <c r="Y69" i="1"/>
  <c r="Z69" i="1"/>
  <c r="Y78" i="1"/>
  <c r="Z78" i="1"/>
  <c r="Y102" i="1"/>
  <c r="Z102" i="1"/>
  <c r="Y109" i="1"/>
  <c r="Z109" i="1"/>
  <c r="Y118" i="1"/>
  <c r="Z118" i="1"/>
  <c r="Y136" i="1"/>
  <c r="Z136" i="1"/>
  <c r="Y157" i="1"/>
  <c r="Z157" i="1"/>
  <c r="Y181" i="1"/>
  <c r="Z181" i="1"/>
  <c r="Z189" i="1"/>
  <c r="Y189" i="1"/>
  <c r="Y216" i="1"/>
  <c r="Z216" i="1"/>
  <c r="Z238" i="1"/>
  <c r="Y238" i="1"/>
  <c r="Z246" i="1"/>
  <c r="Y246" i="1"/>
  <c r="L373" i="1"/>
  <c r="Z311" i="1"/>
  <c r="Y311" i="1"/>
  <c r="X385" i="1"/>
  <c r="Z37" i="1"/>
  <c r="Y37" i="1"/>
  <c r="Y79" i="1"/>
  <c r="Z79" i="1"/>
  <c r="Y86" i="1"/>
  <c r="Z86" i="1"/>
  <c r="Y94" i="1"/>
  <c r="Z94" i="1"/>
  <c r="Y119" i="1"/>
  <c r="Z119" i="1"/>
  <c r="Y127" i="1"/>
  <c r="Z127" i="1"/>
  <c r="Y137" i="1"/>
  <c r="Z137" i="1"/>
  <c r="Y143" i="1"/>
  <c r="Z143" i="1"/>
  <c r="Y150" i="1"/>
  <c r="Z150" i="1"/>
  <c r="Y163" i="1"/>
  <c r="Z163" i="1"/>
  <c r="Y172" i="1"/>
  <c r="Z172" i="1"/>
  <c r="Z190" i="1"/>
  <c r="Y190" i="1"/>
  <c r="Y197" i="1"/>
  <c r="Z197" i="1"/>
  <c r="Y203" i="1"/>
  <c r="Z203" i="1"/>
  <c r="Z209" i="1"/>
  <c r="Y209" i="1"/>
  <c r="Z333" i="1"/>
  <c r="Y333" i="1"/>
  <c r="Y352" i="1"/>
  <c r="Z352" i="1"/>
  <c r="Y98" i="1"/>
  <c r="Z98" i="1"/>
  <c r="Z160" i="1"/>
  <c r="Y160" i="1"/>
  <c r="Z26" i="1"/>
  <c r="Y26" i="1"/>
  <c r="Z41" i="1"/>
  <c r="Y41" i="1"/>
  <c r="Z56" i="1"/>
  <c r="Y56" i="1"/>
  <c r="Y95" i="1"/>
  <c r="Z95" i="1"/>
  <c r="Y103" i="1"/>
  <c r="Z103" i="1"/>
  <c r="Y111" i="1"/>
  <c r="Z111" i="1"/>
  <c r="Z151" i="1"/>
  <c r="Y151" i="1"/>
  <c r="Y164" i="1"/>
  <c r="Z164" i="1"/>
  <c r="Y182" i="1"/>
  <c r="Z182" i="1"/>
  <c r="Y217" i="1"/>
  <c r="Z217" i="1"/>
  <c r="Z247" i="1"/>
  <c r="Y247" i="1"/>
  <c r="Y255" i="1"/>
  <c r="Z255" i="1"/>
  <c r="Y282" i="1"/>
  <c r="Z282" i="1"/>
  <c r="Y291" i="1"/>
  <c r="Z291" i="1"/>
  <c r="Y296" i="1"/>
  <c r="Z296" i="1"/>
  <c r="Z312" i="1"/>
  <c r="Y312" i="1"/>
  <c r="Z335" i="1"/>
  <c r="Y335" i="1"/>
  <c r="Z27" i="1"/>
  <c r="Y27" i="1"/>
  <c r="Z42" i="1"/>
  <c r="Y42" i="1"/>
  <c r="Z48" i="1"/>
  <c r="Y48" i="1"/>
  <c r="Z57" i="1"/>
  <c r="Y57" i="1"/>
  <c r="Y74" i="1"/>
  <c r="Z74" i="1"/>
  <c r="Z80" i="1"/>
  <c r="Y80" i="1"/>
  <c r="Y87" i="1"/>
  <c r="Z87" i="1"/>
  <c r="Y120" i="1"/>
  <c r="Z120" i="1"/>
  <c r="Y128" i="1"/>
  <c r="Z128" i="1"/>
  <c r="Z138" i="1"/>
  <c r="Y138" i="1"/>
  <c r="Y144" i="1"/>
  <c r="Z144" i="1"/>
  <c r="Z152" i="1"/>
  <c r="Y152" i="1"/>
  <c r="Y158" i="1"/>
  <c r="Z158" i="1"/>
  <c r="Y165" i="1"/>
  <c r="Z165" i="1"/>
  <c r="Y173" i="1"/>
  <c r="Z173" i="1"/>
  <c r="Y191" i="1"/>
  <c r="Z191" i="1"/>
  <c r="Y198" i="1"/>
  <c r="Z198" i="1"/>
  <c r="Z204" i="1"/>
  <c r="Y204" i="1"/>
  <c r="Z210" i="1"/>
  <c r="Y210" i="1"/>
  <c r="Y218" i="1"/>
  <c r="Z218" i="1"/>
  <c r="Z313" i="1"/>
  <c r="Y313" i="1"/>
  <c r="Z371" i="1"/>
  <c r="Y371" i="1"/>
  <c r="Z13" i="1"/>
  <c r="Y13" i="1"/>
  <c r="Z43" i="1"/>
  <c r="Y43" i="1"/>
  <c r="Y96" i="1"/>
  <c r="Z96" i="1"/>
  <c r="Y104" i="1"/>
  <c r="Z104" i="1"/>
  <c r="Z112" i="1"/>
  <c r="Y112" i="1"/>
  <c r="Y121" i="1"/>
  <c r="Z121" i="1"/>
  <c r="Y184" i="1"/>
  <c r="Z184" i="1"/>
  <c r="Z211" i="1"/>
  <c r="Y211" i="1"/>
  <c r="Y220" i="1"/>
  <c r="Z220" i="1"/>
  <c r="Z248" i="1"/>
  <c r="Y248" i="1"/>
  <c r="K289" i="1"/>
  <c r="N289" i="1" s="1"/>
  <c r="Z292" i="1"/>
  <c r="Y292" i="1"/>
  <c r="Z314" i="1"/>
  <c r="Y314" i="1"/>
  <c r="Y90" i="1"/>
  <c r="Z90" i="1"/>
  <c r="Y147" i="1"/>
  <c r="Z147" i="1"/>
  <c r="Z5" i="1"/>
  <c r="Y5" i="1"/>
  <c r="Z14" i="1"/>
  <c r="Y14" i="1"/>
  <c r="Z29" i="1"/>
  <c r="Y29" i="1"/>
  <c r="Y75" i="1"/>
  <c r="Z75" i="1"/>
  <c r="Z81" i="1"/>
  <c r="Y81" i="1"/>
  <c r="Y89" i="1"/>
  <c r="Z89" i="1"/>
  <c r="Y97" i="1"/>
  <c r="Z97" i="1"/>
  <c r="Y105" i="1"/>
  <c r="Z105" i="1"/>
  <c r="Z129" i="1"/>
  <c r="Y129" i="1"/>
  <c r="Z139" i="1"/>
  <c r="Y139" i="1"/>
  <c r="Y146" i="1"/>
  <c r="Z146" i="1"/>
  <c r="Y159" i="1"/>
  <c r="Z159" i="1"/>
  <c r="Y174" i="1"/>
  <c r="Z174" i="1"/>
  <c r="Y192" i="1"/>
  <c r="Z192" i="1"/>
  <c r="Z199" i="1"/>
  <c r="Y199" i="1"/>
  <c r="Y205" i="1"/>
  <c r="Z205" i="1"/>
  <c r="Z212" i="1"/>
  <c r="Y212" i="1"/>
  <c r="Z221" i="1"/>
  <c r="Y221" i="1"/>
  <c r="Z315" i="1"/>
  <c r="Y315" i="1"/>
  <c r="Y82" i="1"/>
  <c r="Z82" i="1"/>
  <c r="Z30" i="1"/>
  <c r="Y30" i="1"/>
  <c r="Z49" i="1"/>
  <c r="Y49" i="1"/>
  <c r="Z58" i="1"/>
  <c r="Y58" i="1"/>
  <c r="Y114" i="1"/>
  <c r="Z114" i="1"/>
  <c r="Y122" i="1"/>
  <c r="Z122" i="1"/>
  <c r="Z130" i="1"/>
  <c r="Y130" i="1"/>
  <c r="Y185" i="1"/>
  <c r="Z185" i="1"/>
  <c r="Y193" i="1"/>
  <c r="Z193" i="1"/>
  <c r="Y206" i="1"/>
  <c r="Z206" i="1"/>
  <c r="Y213" i="1"/>
  <c r="Z213" i="1"/>
  <c r="Z222" i="1"/>
  <c r="Y222" i="1"/>
  <c r="Y243" i="1"/>
  <c r="Z243" i="1"/>
  <c r="Z249" i="1"/>
  <c r="Y249" i="1"/>
  <c r="Z316" i="1"/>
  <c r="Y316" i="1"/>
  <c r="Z377" i="1"/>
  <c r="Y377" i="1"/>
  <c r="Z383" i="1"/>
  <c r="Y383" i="1"/>
  <c r="H47" i="1"/>
  <c r="K47" i="1" s="1"/>
  <c r="N47" i="1" s="1"/>
  <c r="E65" i="1"/>
  <c r="E367" i="1"/>
  <c r="O278" i="1"/>
  <c r="O294" i="1"/>
  <c r="E322" i="1"/>
  <c r="H370" i="1"/>
  <c r="K370" i="1" s="1"/>
  <c r="J266" i="1"/>
  <c r="S346" i="1"/>
  <c r="W346" i="1" s="1"/>
  <c r="Y346" i="1" s="1"/>
  <c r="C21" i="1"/>
  <c r="E327" i="1"/>
  <c r="H158" i="1"/>
  <c r="K158" i="1" s="1"/>
  <c r="N158" i="1" s="1"/>
  <c r="H58" i="1"/>
  <c r="K58" i="1" s="1"/>
  <c r="N58" i="1" s="1"/>
  <c r="G45" i="1"/>
  <c r="H264" i="1"/>
  <c r="K264" i="1" s="1"/>
  <c r="M264" i="1" s="1"/>
  <c r="J45" i="1"/>
  <c r="G284" i="1"/>
  <c r="D9" i="1"/>
  <c r="D21" i="1" s="1"/>
  <c r="O227" i="1"/>
  <c r="H298" i="1"/>
  <c r="K298" i="1" s="1"/>
  <c r="K346" i="1"/>
  <c r="M346" i="1" s="1"/>
  <c r="S289" i="1"/>
  <c r="W289" i="1" s="1"/>
  <c r="G349" i="1"/>
  <c r="R261" i="1"/>
  <c r="J349" i="1"/>
  <c r="H265" i="1"/>
  <c r="K265" i="1" s="1"/>
  <c r="N265" i="1" s="1"/>
  <c r="K282" i="1"/>
  <c r="M282" i="1" s="1"/>
  <c r="H179" i="1"/>
  <c r="K179" i="1" s="1"/>
  <c r="W55" i="1"/>
  <c r="O20" i="1"/>
  <c r="K49" i="1"/>
  <c r="N49" i="1" s="1"/>
  <c r="E177" i="1"/>
  <c r="E337" i="1"/>
  <c r="D342" i="1"/>
  <c r="E342" i="1" s="1"/>
  <c r="O9" i="1"/>
  <c r="R70" i="1"/>
  <c r="H5" i="1"/>
  <c r="K5" i="1" s="1"/>
  <c r="K287" i="1"/>
  <c r="N287" i="1" s="1"/>
  <c r="H55" i="1"/>
  <c r="K55" i="1" s="1"/>
  <c r="N55" i="1" s="1"/>
  <c r="P261" i="1"/>
  <c r="K290" i="1"/>
  <c r="M290" i="1" s="1"/>
  <c r="W287" i="1"/>
  <c r="S345" i="1"/>
  <c r="W345" i="1" s="1"/>
  <c r="I21" i="1"/>
  <c r="R154" i="1"/>
  <c r="H268" i="1"/>
  <c r="K268" i="1" s="1"/>
  <c r="H330" i="1"/>
  <c r="K330" i="1" s="1"/>
  <c r="M330" i="1" s="1"/>
  <c r="S288" i="1"/>
  <c r="W288" i="1" s="1"/>
  <c r="R294" i="1"/>
  <c r="W330" i="1"/>
  <c r="P6" i="1"/>
  <c r="S6" i="1" s="1"/>
  <c r="O59" i="1"/>
  <c r="F21" i="1"/>
  <c r="P256" i="1"/>
  <c r="P266" i="1"/>
  <c r="V304" i="1"/>
  <c r="O342" i="1"/>
  <c r="E349" i="1"/>
  <c r="R59" i="1"/>
  <c r="G9" i="1"/>
  <c r="G21" i="1" s="1"/>
  <c r="S275" i="1"/>
  <c r="W275" i="1" s="1"/>
  <c r="Y275" i="1" s="1"/>
  <c r="K389" i="1"/>
  <c r="O45" i="1"/>
  <c r="O284" i="1"/>
  <c r="S44" i="1"/>
  <c r="W44" i="1" s="1"/>
  <c r="D59" i="1"/>
  <c r="E59" i="1" s="1"/>
  <c r="H153" i="1"/>
  <c r="K153" i="1" s="1"/>
  <c r="N153" i="1" s="1"/>
  <c r="E266" i="1"/>
  <c r="H325" i="1"/>
  <c r="K325" i="1" s="1"/>
  <c r="S8" i="1"/>
  <c r="W8" i="1" s="1"/>
  <c r="G59" i="1"/>
  <c r="H73" i="1"/>
  <c r="K73" i="1" s="1"/>
  <c r="N73" i="1" s="1"/>
  <c r="G70" i="1"/>
  <c r="W239" i="1"/>
  <c r="Y239" i="1" s="1"/>
  <c r="H286" i="1"/>
  <c r="K286" i="1" s="1"/>
  <c r="D304" i="1"/>
  <c r="E304" i="1" s="1"/>
  <c r="J342" i="1"/>
  <c r="H353" i="1"/>
  <c r="J59" i="1"/>
  <c r="O24" i="1"/>
  <c r="S64" i="1"/>
  <c r="W64" i="1" s="1"/>
  <c r="J70" i="1"/>
  <c r="S153" i="1"/>
  <c r="W153" i="1" s="1"/>
  <c r="E226" i="1"/>
  <c r="H226" i="1" s="1"/>
  <c r="K226" i="1" s="1"/>
  <c r="N226" i="1" s="1"/>
  <c r="K275" i="1"/>
  <c r="N275" i="1" s="1"/>
  <c r="R342" i="1"/>
  <c r="O349" i="1"/>
  <c r="E384" i="1"/>
  <c r="U294" i="1"/>
  <c r="U373" i="1" s="1"/>
  <c r="E154" i="1"/>
  <c r="H176" i="1"/>
  <c r="K176" i="1" s="1"/>
  <c r="M176" i="1" s="1"/>
  <c r="S226" i="1"/>
  <c r="W226" i="1" s="1"/>
  <c r="E278" i="1"/>
  <c r="R284" i="1"/>
  <c r="S299" i="1"/>
  <c r="W299" i="1" s="1"/>
  <c r="P337" i="1"/>
  <c r="S347" i="1"/>
  <c r="W347" i="1" s="1"/>
  <c r="H354" i="1"/>
  <c r="K354" i="1" s="1"/>
  <c r="R177" i="1"/>
  <c r="P275" i="1"/>
  <c r="N290" i="1"/>
  <c r="N332" i="1"/>
  <c r="M332" i="1"/>
  <c r="W329" i="1"/>
  <c r="S327" i="1"/>
  <c r="W327" i="1" s="1"/>
  <c r="N352" i="1"/>
  <c r="M352" i="1"/>
  <c r="N333" i="1"/>
  <c r="M333" i="1"/>
  <c r="N292" i="1"/>
  <c r="M292" i="1"/>
  <c r="N383" i="1"/>
  <c r="O266" i="1"/>
  <c r="P298" i="1"/>
  <c r="S298" i="1" s="1"/>
  <c r="W298" i="1" s="1"/>
  <c r="V70" i="1"/>
  <c r="E256" i="1"/>
  <c r="S260" i="1"/>
  <c r="W260" i="1" s="1"/>
  <c r="J284" i="1"/>
  <c r="E345" i="1"/>
  <c r="H345" i="1" s="1"/>
  <c r="K345" i="1" s="1"/>
  <c r="N345" i="1" s="1"/>
  <c r="E12" i="1"/>
  <c r="H12" i="1" s="1"/>
  <c r="K12" i="1" s="1"/>
  <c r="M12" i="1" s="1"/>
  <c r="J9" i="1"/>
  <c r="J21" i="1" s="1"/>
  <c r="O51" i="1"/>
  <c r="G154" i="1"/>
  <c r="K291" i="1"/>
  <c r="M291" i="1" s="1"/>
  <c r="E6" i="1"/>
  <c r="H6" i="1" s="1"/>
  <c r="K6" i="1" s="1"/>
  <c r="N6" i="1" s="1"/>
  <c r="V177" i="1"/>
  <c r="D261" i="1"/>
  <c r="E261" i="1" s="1"/>
  <c r="P300" i="1"/>
  <c r="V231" i="1"/>
  <c r="S372" i="1"/>
  <c r="W372" i="1" s="1"/>
  <c r="H44" i="1"/>
  <c r="K44" i="1" s="1"/>
  <c r="N44" i="1" s="1"/>
  <c r="R24" i="1"/>
  <c r="Q373" i="1"/>
  <c r="P170" i="1"/>
  <c r="S170" i="1" s="1"/>
  <c r="S167" i="1" s="1"/>
  <c r="W167" i="1" s="1"/>
  <c r="L21" i="1"/>
  <c r="Q272" i="1"/>
  <c r="T388" i="1"/>
  <c r="T389" i="1" s="1"/>
  <c r="W389" i="1" s="1"/>
  <c r="W240" i="1"/>
  <c r="V284" i="1"/>
  <c r="E284" i="1"/>
  <c r="Q21" i="1"/>
  <c r="H271" i="1"/>
  <c r="K271" i="1" s="1"/>
  <c r="N271" i="1" s="1"/>
  <c r="S47" i="1"/>
  <c r="W47" i="1" s="1"/>
  <c r="E231" i="1"/>
  <c r="S264" i="1"/>
  <c r="W264" i="1" s="1"/>
  <c r="M259" i="1"/>
  <c r="N243" i="1"/>
  <c r="M243" i="1"/>
  <c r="M270" i="1"/>
  <c r="N238" i="1"/>
  <c r="M253" i="1"/>
  <c r="N175" i="1"/>
  <c r="M175" i="1"/>
  <c r="N247" i="1"/>
  <c r="M247" i="1"/>
  <c r="M202" i="1"/>
  <c r="N204" i="1"/>
  <c r="N217" i="1"/>
  <c r="N157" i="1"/>
  <c r="N171" i="1"/>
  <c r="N184" i="1"/>
  <c r="M192" i="1"/>
  <c r="N214" i="1"/>
  <c r="N162" i="1"/>
  <c r="H255" i="1"/>
  <c r="K255" i="1" s="1"/>
  <c r="U272" i="1"/>
  <c r="L272" i="1"/>
  <c r="M118" i="1"/>
  <c r="N118" i="1"/>
  <c r="S73" i="1"/>
  <c r="W73" i="1" s="1"/>
  <c r="M82" i="1"/>
  <c r="N81" i="1"/>
  <c r="M81" i="1"/>
  <c r="N76" i="1"/>
  <c r="M76" i="1"/>
  <c r="M87" i="1"/>
  <c r="N87" i="1"/>
  <c r="M139" i="1"/>
  <c r="N139" i="1"/>
  <c r="N90" i="1"/>
  <c r="M100" i="1"/>
  <c r="M126" i="1"/>
  <c r="N133" i="1"/>
  <c r="M86" i="1"/>
  <c r="M96" i="1"/>
  <c r="N98" i="1"/>
  <c r="N106" i="1"/>
  <c r="M131" i="1"/>
  <c r="M138" i="1"/>
  <c r="H77" i="1"/>
  <c r="K77" i="1" s="1"/>
  <c r="M77" i="1" s="1"/>
  <c r="M89" i="1"/>
  <c r="N54" i="1"/>
  <c r="N68" i="1"/>
  <c r="P20" i="1"/>
  <c r="M78" i="1"/>
  <c r="N78" i="1"/>
  <c r="M103" i="1"/>
  <c r="N103" i="1"/>
  <c r="S20" i="1"/>
  <c r="W20" i="1" s="1"/>
  <c r="P59" i="1"/>
  <c r="M114" i="1"/>
  <c r="N114" i="1"/>
  <c r="N7" i="1"/>
  <c r="M7" i="1"/>
  <c r="N14" i="1"/>
  <c r="M14" i="1"/>
  <c r="M56" i="1"/>
  <c r="N56" i="1"/>
  <c r="K67" i="1"/>
  <c r="H65" i="1"/>
  <c r="K65" i="1" s="1"/>
  <c r="N65" i="1" s="1"/>
  <c r="N80" i="1"/>
  <c r="M80" i="1"/>
  <c r="M84" i="1"/>
  <c r="N84" i="1"/>
  <c r="M160" i="1"/>
  <c r="N160" i="1"/>
  <c r="N74" i="1"/>
  <c r="M74" i="1"/>
  <c r="N94" i="1"/>
  <c r="M94" i="1"/>
  <c r="M115" i="1"/>
  <c r="N115" i="1"/>
  <c r="N148" i="1"/>
  <c r="M148" i="1"/>
  <c r="S156" i="1"/>
  <c r="P154" i="1"/>
  <c r="M174" i="1"/>
  <c r="N174" i="1"/>
  <c r="N260" i="1"/>
  <c r="M260" i="1"/>
  <c r="R9" i="1"/>
  <c r="R21" i="1" s="1"/>
  <c r="H8" i="1"/>
  <c r="K8" i="1" s="1"/>
  <c r="W12" i="1"/>
  <c r="M13" i="1"/>
  <c r="M19" i="1"/>
  <c r="E20" i="1"/>
  <c r="K24" i="1"/>
  <c r="N24" i="1" s="1"/>
  <c r="P28" i="1"/>
  <c r="P45" i="1"/>
  <c r="E48" i="1"/>
  <c r="H48" i="1" s="1"/>
  <c r="K48" i="1" s="1"/>
  <c r="N50" i="1"/>
  <c r="K61" i="1"/>
  <c r="S61" i="1"/>
  <c r="S62" i="1"/>
  <c r="W62" i="1" s="1"/>
  <c r="E64" i="1"/>
  <c r="H64" i="1" s="1"/>
  <c r="K64" i="1" s="1"/>
  <c r="P65" i="1"/>
  <c r="N69" i="1"/>
  <c r="D70" i="1"/>
  <c r="E70" i="1" s="1"/>
  <c r="O70" i="1"/>
  <c r="K72" i="1"/>
  <c r="M72" i="1" s="1"/>
  <c r="N108" i="1"/>
  <c r="M109" i="1"/>
  <c r="N120" i="1"/>
  <c r="M120" i="1"/>
  <c r="N124" i="1"/>
  <c r="N142" i="1"/>
  <c r="M143" i="1"/>
  <c r="N147" i="1"/>
  <c r="N149" i="1"/>
  <c r="M149" i="1"/>
  <c r="M150" i="1"/>
  <c r="O154" i="1"/>
  <c r="M166" i="1"/>
  <c r="N166" i="1"/>
  <c r="N173" i="1"/>
  <c r="M173" i="1"/>
  <c r="V9" i="1"/>
  <c r="V21" i="1" s="1"/>
  <c r="T21" i="1"/>
  <c r="I272" i="1"/>
  <c r="E45" i="1"/>
  <c r="P51" i="1"/>
  <c r="P70" i="1"/>
  <c r="M102" i="1"/>
  <c r="N102" i="1"/>
  <c r="M159" i="1"/>
  <c r="N159" i="1"/>
  <c r="M163" i="1"/>
  <c r="N163" i="1"/>
  <c r="K169" i="1"/>
  <c r="M172" i="1"/>
  <c r="N172" i="1"/>
  <c r="T272" i="1"/>
  <c r="F272" i="1"/>
  <c r="S53" i="1"/>
  <c r="H62" i="1"/>
  <c r="S65" i="1"/>
  <c r="W65" i="1" s="1"/>
  <c r="M75" i="1"/>
  <c r="M92" i="1"/>
  <c r="N111" i="1"/>
  <c r="M112" i="1"/>
  <c r="M122" i="1"/>
  <c r="M141" i="1"/>
  <c r="N144" i="1"/>
  <c r="M146" i="1"/>
  <c r="M161" i="1"/>
  <c r="N161" i="1"/>
  <c r="K53" i="1"/>
  <c r="M104" i="1"/>
  <c r="N104" i="1"/>
  <c r="C272" i="1"/>
  <c r="D51" i="1"/>
  <c r="H156" i="1"/>
  <c r="N170" i="1"/>
  <c r="N182" i="1"/>
  <c r="M201" i="1"/>
  <c r="N201" i="1"/>
  <c r="M203" i="1"/>
  <c r="N203" i="1"/>
  <c r="M205" i="1"/>
  <c r="N205" i="1"/>
  <c r="H207" i="1"/>
  <c r="K207" i="1" s="1"/>
  <c r="O177" i="1"/>
  <c r="P227" i="1"/>
  <c r="S230" i="1"/>
  <c r="W230" i="1" s="1"/>
  <c r="K233" i="1"/>
  <c r="W234" i="1"/>
  <c r="S231" i="1"/>
  <c r="N249" i="1"/>
  <c r="M249" i="1"/>
  <c r="W263" i="1"/>
  <c r="M188" i="1"/>
  <c r="N188" i="1"/>
  <c r="M215" i="1"/>
  <c r="N215" i="1"/>
  <c r="K229" i="1"/>
  <c r="M229" i="1" s="1"/>
  <c r="M236" i="1"/>
  <c r="N236" i="1"/>
  <c r="N250" i="1"/>
  <c r="M250" i="1"/>
  <c r="S166" i="1"/>
  <c r="W166" i="1" s="1"/>
  <c r="G177" i="1"/>
  <c r="S179" i="1"/>
  <c r="P177" i="1"/>
  <c r="M181" i="1"/>
  <c r="N185" i="1"/>
  <c r="N189" i="1"/>
  <c r="M191" i="1"/>
  <c r="N196" i="1"/>
  <c r="M197" i="1"/>
  <c r="N198" i="1"/>
  <c r="M199" i="1"/>
  <c r="M208" i="1"/>
  <c r="N209" i="1"/>
  <c r="N210" i="1"/>
  <c r="M216" i="1"/>
  <c r="P231" i="1"/>
  <c r="N235" i="1"/>
  <c r="M235" i="1"/>
  <c r="M239" i="1"/>
  <c r="N239" i="1"/>
  <c r="N245" i="1"/>
  <c r="M245" i="1"/>
  <c r="W258" i="1"/>
  <c r="N194" i="1"/>
  <c r="M194" i="1"/>
  <c r="W229" i="1"/>
  <c r="M234" i="1"/>
  <c r="N234" i="1"/>
  <c r="N246" i="1"/>
  <c r="M246" i="1"/>
  <c r="R256" i="1"/>
  <c r="S259" i="1"/>
  <c r="W259" i="1" s="1"/>
  <c r="N244" i="1"/>
  <c r="M244" i="1"/>
  <c r="N248" i="1"/>
  <c r="M248" i="1"/>
  <c r="H256" i="1"/>
  <c r="K256" i="1" s="1"/>
  <c r="N256" i="1" s="1"/>
  <c r="K258" i="1"/>
  <c r="M258" i="1" s="1"/>
  <c r="G261" i="1"/>
  <c r="C373" i="1"/>
  <c r="E373" i="1" s="1"/>
  <c r="E275" i="1"/>
  <c r="I373" i="1"/>
  <c r="S286" i="1"/>
  <c r="P284" i="1"/>
  <c r="S300" i="1"/>
  <c r="W300" i="1" s="1"/>
  <c r="Y300" i="1" s="1"/>
  <c r="W302" i="1"/>
  <c r="Y302" i="1" s="1"/>
  <c r="H307" i="1"/>
  <c r="K307" i="1" s="1"/>
  <c r="W324" i="1"/>
  <c r="P325" i="1"/>
  <c r="O322" i="1"/>
  <c r="N269" i="1"/>
  <c r="M269" i="1"/>
  <c r="K297" i="1"/>
  <c r="M297" i="1" s="1"/>
  <c r="W306" i="1"/>
  <c r="S281" i="1"/>
  <c r="W281" i="1" s="1"/>
  <c r="P278" i="1"/>
  <c r="K329" i="1"/>
  <c r="M329" i="1" s="1"/>
  <c r="N340" i="1"/>
  <c r="M340" i="1"/>
  <c r="W280" i="1"/>
  <c r="K302" i="1"/>
  <c r="M302" i="1" s="1"/>
  <c r="M300" i="1" s="1"/>
  <c r="H300" i="1"/>
  <c r="K300" i="1" s="1"/>
  <c r="W380" i="1"/>
  <c r="S384" i="1"/>
  <c r="W384" i="1" s="1"/>
  <c r="E167" i="1"/>
  <c r="E230" i="1"/>
  <c r="H230" i="1" s="1"/>
  <c r="K230" i="1" s="1"/>
  <c r="D227" i="1"/>
  <c r="E227" i="1" s="1"/>
  <c r="O231" i="1"/>
  <c r="H263" i="1"/>
  <c r="G266" i="1"/>
  <c r="W268" i="1"/>
  <c r="S271" i="1"/>
  <c r="W271" i="1" s="1"/>
  <c r="F373" i="1"/>
  <c r="K277" i="1"/>
  <c r="M277" i="1" s="1"/>
  <c r="M275" i="1" s="1"/>
  <c r="H278" i="1"/>
  <c r="K278" i="1" s="1"/>
  <c r="N278" i="1" s="1"/>
  <c r="K280" i="1"/>
  <c r="M280" i="1" s="1"/>
  <c r="E300" i="1"/>
  <c r="K306" i="1"/>
  <c r="M306" i="1" s="1"/>
  <c r="E299" i="1"/>
  <c r="H299" i="1" s="1"/>
  <c r="K299" i="1" s="1"/>
  <c r="D294" i="1"/>
  <c r="E294" i="1" s="1"/>
  <c r="S265" i="1"/>
  <c r="W265" i="1" s="1"/>
  <c r="H288" i="1"/>
  <c r="K288" i="1" s="1"/>
  <c r="W290" i="1"/>
  <c r="S307" i="1"/>
  <c r="W307" i="1" s="1"/>
  <c r="P304" i="1"/>
  <c r="O327" i="1"/>
  <c r="P327" i="1"/>
  <c r="P342" i="1"/>
  <c r="S344" i="1"/>
  <c r="K361" i="1"/>
  <c r="M361" i="1" s="1"/>
  <c r="H359" i="1"/>
  <c r="K359" i="1" s="1"/>
  <c r="N359" i="1" s="1"/>
  <c r="S362" i="1"/>
  <c r="W362" i="1" s="1"/>
  <c r="P359" i="1"/>
  <c r="H337" i="1"/>
  <c r="K337" i="1" s="1"/>
  <c r="N337" i="1" s="1"/>
  <c r="K339" i="1"/>
  <c r="M339" i="1" s="1"/>
  <c r="K365" i="1"/>
  <c r="M365" i="1" s="1"/>
  <c r="T373" i="1"/>
  <c r="S337" i="1"/>
  <c r="W337" i="1" s="1"/>
  <c r="W339" i="1"/>
  <c r="E359" i="1"/>
  <c r="W361" i="1"/>
  <c r="N371" i="1"/>
  <c r="M371" i="1"/>
  <c r="K344" i="1"/>
  <c r="S366" i="1"/>
  <c r="P363" i="1"/>
  <c r="N380" i="1"/>
  <c r="M380" i="1"/>
  <c r="P349" i="1"/>
  <c r="S353" i="1"/>
  <c r="W353" i="1" s="1"/>
  <c r="N362" i="1"/>
  <c r="M362" i="1"/>
  <c r="E366" i="1"/>
  <c r="H366" i="1" s="1"/>
  <c r="K366" i="1" s="1"/>
  <c r="D363" i="1"/>
  <c r="E363" i="1" s="1"/>
  <c r="P367" i="1"/>
  <c r="S370" i="1"/>
  <c r="W370" i="1" s="1"/>
  <c r="K377" i="1"/>
  <c r="H384" i="1"/>
  <c r="K384" i="1" s="1"/>
  <c r="N384" i="1" s="1"/>
  <c r="P384" i="1"/>
  <c r="Y65" i="1" l="1"/>
  <c r="Z65" i="1"/>
  <c r="Z372" i="1"/>
  <c r="Y372" i="1"/>
  <c r="M289" i="1"/>
  <c r="Y299" i="1"/>
  <c r="Z299" i="1"/>
  <c r="Z153" i="1"/>
  <c r="Y153" i="1"/>
  <c r="Z8" i="1"/>
  <c r="Y8" i="1"/>
  <c r="Z289" i="1"/>
  <c r="Y289" i="1"/>
  <c r="Y347" i="1"/>
  <c r="Z347" i="1"/>
  <c r="Z288" i="1"/>
  <c r="Y288" i="1"/>
  <c r="Z384" i="1"/>
  <c r="Y384" i="1"/>
  <c r="Z380" i="1"/>
  <c r="Y380" i="1"/>
  <c r="Z353" i="1"/>
  <c r="Y353" i="1"/>
  <c r="Y337" i="1"/>
  <c r="Z337" i="1"/>
  <c r="Z260" i="1"/>
  <c r="Y260" i="1"/>
  <c r="Z327" i="1"/>
  <c r="Y327" i="1"/>
  <c r="Z64" i="1"/>
  <c r="Y64" i="1"/>
  <c r="Y20" i="1"/>
  <c r="Z20" i="1"/>
  <c r="Y226" i="1"/>
  <c r="Z226" i="1"/>
  <c r="Z307" i="1"/>
  <c r="Y307" i="1"/>
  <c r="Y271" i="1"/>
  <c r="Y166" i="1"/>
  <c r="Z166" i="1"/>
  <c r="Z240" i="1"/>
  <c r="Y240" i="1"/>
  <c r="Y345" i="1"/>
  <c r="Z345" i="1"/>
  <c r="Y298" i="1"/>
  <c r="Z298" i="1"/>
  <c r="Z287" i="1"/>
  <c r="Y287" i="1"/>
  <c r="Y290" i="1"/>
  <c r="Z290" i="1"/>
  <c r="Z12" i="1"/>
  <c r="Y12" i="1"/>
  <c r="Z234" i="1"/>
  <c r="Y234" i="1"/>
  <c r="Z62" i="1"/>
  <c r="Y62" i="1"/>
  <c r="Z44" i="1"/>
  <c r="Y44" i="1"/>
  <c r="Z55" i="1"/>
  <c r="Y55" i="1"/>
  <c r="Z265" i="1"/>
  <c r="Y265" i="1"/>
  <c r="Y362" i="1"/>
  <c r="Z362" i="1"/>
  <c r="Y259" i="1"/>
  <c r="Z259" i="1"/>
  <c r="Z230" i="1"/>
  <c r="Y230" i="1"/>
  <c r="Y73" i="1"/>
  <c r="Z73" i="1"/>
  <c r="Z6" i="1"/>
  <c r="Y6" i="1"/>
  <c r="Y370" i="1"/>
  <c r="Z370" i="1"/>
  <c r="Z167" i="1"/>
  <c r="Y167" i="1"/>
  <c r="Y281" i="1"/>
  <c r="Z281" i="1"/>
  <c r="Z264" i="1"/>
  <c r="Y264" i="1"/>
  <c r="Z330" i="1"/>
  <c r="Y330" i="1"/>
  <c r="M47" i="1"/>
  <c r="H327" i="1"/>
  <c r="K327" i="1" s="1"/>
  <c r="N327" i="1" s="1"/>
  <c r="H367" i="1"/>
  <c r="K367" i="1" s="1"/>
  <c r="N367" i="1" s="1"/>
  <c r="N330" i="1"/>
  <c r="M226" i="1"/>
  <c r="M158" i="1"/>
  <c r="M49" i="1"/>
  <c r="N291" i="1"/>
  <c r="W170" i="1"/>
  <c r="M58" i="1"/>
  <c r="N176" i="1"/>
  <c r="E21" i="1"/>
  <c r="N264" i="1"/>
  <c r="H167" i="1"/>
  <c r="K167" i="1" s="1"/>
  <c r="N167" i="1" s="1"/>
  <c r="M271" i="1"/>
  <c r="V373" i="1"/>
  <c r="J272" i="1"/>
  <c r="J373" i="1"/>
  <c r="J374" i="1" s="1"/>
  <c r="J385" i="1" s="1"/>
  <c r="O21" i="1"/>
  <c r="G373" i="1"/>
  <c r="H45" i="1"/>
  <c r="K45" i="1" s="1"/>
  <c r="N45" i="1" s="1"/>
  <c r="Q374" i="1"/>
  <c r="Q385" i="1" s="1"/>
  <c r="S45" i="1"/>
  <c r="W45" i="1" s="1"/>
  <c r="M265" i="1"/>
  <c r="M55" i="1"/>
  <c r="E9" i="1"/>
  <c r="R373" i="1"/>
  <c r="M73" i="1"/>
  <c r="M278" i="1"/>
  <c r="N282" i="1"/>
  <c r="M287" i="1"/>
  <c r="P9" i="1"/>
  <c r="P21" i="1" s="1"/>
  <c r="O373" i="1"/>
  <c r="H266" i="1"/>
  <c r="K266" i="1" s="1"/>
  <c r="N266" i="1" s="1"/>
  <c r="P167" i="1"/>
  <c r="H349" i="1"/>
  <c r="K349" i="1" s="1"/>
  <c r="N349" i="1" s="1"/>
  <c r="S359" i="1"/>
  <c r="W359" i="1" s="1"/>
  <c r="H20" i="1"/>
  <c r="K20" i="1" s="1"/>
  <c r="N20" i="1" s="1"/>
  <c r="H51" i="1"/>
  <c r="K51" i="1" s="1"/>
  <c r="N51" i="1" s="1"/>
  <c r="S9" i="1"/>
  <c r="S21" i="1" s="1"/>
  <c r="W21" i="1" s="1"/>
  <c r="N12" i="1"/>
  <c r="S227" i="1"/>
  <c r="W227" i="1" s="1"/>
  <c r="M44" i="1"/>
  <c r="P294" i="1"/>
  <c r="V272" i="1"/>
  <c r="U374" i="1"/>
  <c r="U385" i="1" s="1"/>
  <c r="R272" i="1"/>
  <c r="H322" i="1"/>
  <c r="K322" i="1" s="1"/>
  <c r="N322" i="1" s="1"/>
  <c r="K353" i="1"/>
  <c r="N353" i="1" s="1"/>
  <c r="H227" i="1"/>
  <c r="K227" i="1" s="1"/>
  <c r="N227" i="1" s="1"/>
  <c r="M153" i="1"/>
  <c r="S294" i="1"/>
  <c r="W294" i="1" s="1"/>
  <c r="G272" i="1"/>
  <c r="O272" i="1"/>
  <c r="M6" i="1"/>
  <c r="S266" i="1"/>
  <c r="W266" i="1" s="1"/>
  <c r="S256" i="1"/>
  <c r="W256" i="1" s="1"/>
  <c r="W388" i="1"/>
  <c r="Y388" i="1" s="1"/>
  <c r="Y389" i="1" s="1"/>
  <c r="S261" i="1"/>
  <c r="W261" i="1" s="1"/>
  <c r="N298" i="1"/>
  <c r="M298" i="1"/>
  <c r="M345" i="1"/>
  <c r="H304" i="1"/>
  <c r="K304" i="1" s="1"/>
  <c r="N304" i="1" s="1"/>
  <c r="D272" i="1"/>
  <c r="H342" i="1"/>
  <c r="K342" i="1" s="1"/>
  <c r="N342" i="1" s="1"/>
  <c r="D373" i="1"/>
  <c r="W231" i="1"/>
  <c r="Y231" i="1" s="1"/>
  <c r="M256" i="1"/>
  <c r="H177" i="1"/>
  <c r="K177" i="1" s="1"/>
  <c r="N177" i="1" s="1"/>
  <c r="H231" i="1"/>
  <c r="K231" i="1" s="1"/>
  <c r="N231" i="1" s="1"/>
  <c r="N255" i="1"/>
  <c r="M255" i="1"/>
  <c r="L374" i="1"/>
  <c r="L385" i="1" s="1"/>
  <c r="S70" i="1"/>
  <c r="W70" i="1" s="1"/>
  <c r="H70" i="1"/>
  <c r="K70" i="1" s="1"/>
  <c r="N70" i="1" s="1"/>
  <c r="N77" i="1"/>
  <c r="S363" i="1"/>
  <c r="W363" i="1" s="1"/>
  <c r="W366" i="1"/>
  <c r="S367" i="1"/>
  <c r="W367" i="1" s="1"/>
  <c r="H363" i="1"/>
  <c r="K363" i="1" s="1"/>
  <c r="N363" i="1" s="1"/>
  <c r="N354" i="1"/>
  <c r="M354" i="1"/>
  <c r="N288" i="1"/>
  <c r="M288" i="1"/>
  <c r="N299" i="1"/>
  <c r="M299" i="1"/>
  <c r="M337" i="1"/>
  <c r="M230" i="1"/>
  <c r="M227" i="1" s="1"/>
  <c r="N230" i="1"/>
  <c r="M286" i="1"/>
  <c r="N286" i="1"/>
  <c r="S304" i="1"/>
  <c r="W304" i="1" s="1"/>
  <c r="M307" i="1"/>
  <c r="M304" i="1" s="1"/>
  <c r="N307" i="1"/>
  <c r="S284" i="1"/>
  <c r="W284" i="1" s="1"/>
  <c r="W286" i="1"/>
  <c r="K62" i="1"/>
  <c r="H59" i="1"/>
  <c r="K59" i="1" s="1"/>
  <c r="N59" i="1" s="1"/>
  <c r="W61" i="1"/>
  <c r="S59" i="1"/>
  <c r="W59" i="1" s="1"/>
  <c r="Y59" i="1" s="1"/>
  <c r="N48" i="1"/>
  <c r="M48" i="1"/>
  <c r="M5" i="1"/>
  <c r="N5" i="1"/>
  <c r="H9" i="1"/>
  <c r="M67" i="1"/>
  <c r="M65" i="1" s="1"/>
  <c r="N67" i="1"/>
  <c r="M377" i="1"/>
  <c r="M384" i="1" s="1"/>
  <c r="N377" i="1"/>
  <c r="S349" i="1"/>
  <c r="W349" i="1" s="1"/>
  <c r="M359" i="1"/>
  <c r="W344" i="1"/>
  <c r="S342" i="1"/>
  <c r="W342" i="1" s="1"/>
  <c r="N325" i="1"/>
  <c r="M325" i="1"/>
  <c r="M322" i="1" s="1"/>
  <c r="H261" i="1"/>
  <c r="K261" i="1" s="1"/>
  <c r="N261" i="1" s="1"/>
  <c r="K263" i="1"/>
  <c r="S278" i="1"/>
  <c r="H294" i="1"/>
  <c r="K294" i="1" s="1"/>
  <c r="N294" i="1" s="1"/>
  <c r="S325" i="1"/>
  <c r="P322" i="1"/>
  <c r="W53" i="1"/>
  <c r="S51" i="1"/>
  <c r="W51" i="1" s="1"/>
  <c r="M169" i="1"/>
  <c r="M167" i="1" s="1"/>
  <c r="N169" i="1"/>
  <c r="N61" i="1"/>
  <c r="M61" i="1"/>
  <c r="M20" i="1"/>
  <c r="N370" i="1"/>
  <c r="M370" i="1"/>
  <c r="M367" i="1" s="1"/>
  <c r="M327" i="1"/>
  <c r="N233" i="1"/>
  <c r="M233" i="1"/>
  <c r="M207" i="1"/>
  <c r="N207" i="1"/>
  <c r="I374" i="1"/>
  <c r="I385" i="1" s="1"/>
  <c r="M64" i="1"/>
  <c r="N64" i="1"/>
  <c r="P24" i="1"/>
  <c r="S28" i="1"/>
  <c r="M8" i="1"/>
  <c r="N8" i="1"/>
  <c r="S154" i="1"/>
  <c r="W154" i="1" s="1"/>
  <c r="W156" i="1"/>
  <c r="E51" i="1"/>
  <c r="N366" i="1"/>
  <c r="M366" i="1"/>
  <c r="M363" i="1" s="1"/>
  <c r="N344" i="1"/>
  <c r="M344" i="1"/>
  <c r="H284" i="1"/>
  <c r="K284" i="1" s="1"/>
  <c r="N284" i="1" s="1"/>
  <c r="M268" i="1"/>
  <c r="N268" i="1"/>
  <c r="M179" i="1"/>
  <c r="N179" i="1"/>
  <c r="W179" i="1"/>
  <c r="S177" i="1"/>
  <c r="W177" i="1" s="1"/>
  <c r="K156" i="1"/>
  <c r="H154" i="1"/>
  <c r="K154" i="1" s="1"/>
  <c r="N154" i="1" s="1"/>
  <c r="C374" i="1"/>
  <c r="E272" i="1"/>
  <c r="N53" i="1"/>
  <c r="M53" i="1"/>
  <c r="F374" i="1"/>
  <c r="F385" i="1" s="1"/>
  <c r="T374" i="1"/>
  <c r="T385" i="1" s="1"/>
  <c r="Y45" i="1" l="1"/>
  <c r="Z45" i="1"/>
  <c r="Y170" i="1"/>
  <c r="Z170" i="1"/>
  <c r="Y304" i="1"/>
  <c r="Z304" i="1"/>
  <c r="Z266" i="1"/>
  <c r="Y266" i="1"/>
  <c r="Z367" i="1"/>
  <c r="Y367" i="1"/>
  <c r="Z227" i="1"/>
  <c r="Y227" i="1"/>
  <c r="Z261" i="1"/>
  <c r="Y261" i="1"/>
  <c r="Y256" i="1"/>
  <c r="Z256" i="1"/>
  <c r="Y366" i="1"/>
  <c r="Z366" i="1"/>
  <c r="Y342" i="1"/>
  <c r="Z342" i="1"/>
  <c r="Z294" i="1"/>
  <c r="Y294" i="1"/>
  <c r="Z21" i="1"/>
  <c r="Y21" i="1"/>
  <c r="Z284" i="1"/>
  <c r="Y284" i="1"/>
  <c r="Y363" i="1"/>
  <c r="Z363" i="1"/>
  <c r="Z51" i="1"/>
  <c r="Y51" i="1"/>
  <c r="Y154" i="1"/>
  <c r="Z154" i="1"/>
  <c r="Y70" i="1"/>
  <c r="Z70" i="1"/>
  <c r="Z359" i="1"/>
  <c r="Y359" i="1"/>
  <c r="Z53" i="1"/>
  <c r="Y53" i="1"/>
  <c r="Y349" i="1"/>
  <c r="Z349" i="1"/>
  <c r="Z177" i="1"/>
  <c r="Y177" i="1"/>
  <c r="Y156" i="1"/>
  <c r="Z156" i="1"/>
  <c r="Y286" i="1"/>
  <c r="Z286" i="1"/>
  <c r="M266" i="1"/>
  <c r="V374" i="1"/>
  <c r="V385" i="1" s="1"/>
  <c r="G374" i="1"/>
  <c r="G385" i="1" s="1"/>
  <c r="M45" i="1"/>
  <c r="M70" i="1"/>
  <c r="M51" i="1"/>
  <c r="M353" i="1"/>
  <c r="M349" i="1" s="1"/>
  <c r="M342" i="1"/>
  <c r="W9" i="1"/>
  <c r="R374" i="1"/>
  <c r="R385" i="1" s="1"/>
  <c r="P272" i="1"/>
  <c r="O374" i="1"/>
  <c r="O385" i="1" s="1"/>
  <c r="M294" i="1"/>
  <c r="P373" i="1"/>
  <c r="D374" i="1"/>
  <c r="D385" i="1" s="1"/>
  <c r="H373" i="1"/>
  <c r="K373" i="1" s="1"/>
  <c r="N373" i="1" s="1"/>
  <c r="M284" i="1"/>
  <c r="M231" i="1"/>
  <c r="H272" i="1"/>
  <c r="K272" i="1" s="1"/>
  <c r="N272" i="1" s="1"/>
  <c r="W28" i="1"/>
  <c r="S24" i="1"/>
  <c r="M263" i="1"/>
  <c r="M261" i="1" s="1"/>
  <c r="N263" i="1"/>
  <c r="M9" i="1"/>
  <c r="C385" i="1"/>
  <c r="E385" i="1" s="1"/>
  <c r="E374" i="1"/>
  <c r="W278" i="1"/>
  <c r="Y278" i="1" s="1"/>
  <c r="N156" i="1"/>
  <c r="M156" i="1"/>
  <c r="M154" i="1" s="1"/>
  <c r="M177" i="1"/>
  <c r="W325" i="1"/>
  <c r="S322" i="1"/>
  <c r="W322" i="1" s="1"/>
  <c r="H21" i="1"/>
  <c r="K21" i="1" s="1"/>
  <c r="N21" i="1" s="1"/>
  <c r="K9" i="1"/>
  <c r="N62" i="1"/>
  <c r="M62" i="1"/>
  <c r="M59" i="1" s="1"/>
  <c r="Y9" i="1" l="1"/>
  <c r="Z9" i="1"/>
  <c r="Z28" i="1"/>
  <c r="Y28" i="1"/>
  <c r="Z322" i="1"/>
  <c r="Y322" i="1"/>
  <c r="Z325" i="1"/>
  <c r="Y325" i="1"/>
  <c r="P374" i="1"/>
  <c r="P385" i="1" s="1"/>
  <c r="M373" i="1"/>
  <c r="S373" i="1"/>
  <c r="W373" i="1" s="1"/>
  <c r="M272" i="1"/>
  <c r="H374" i="1"/>
  <c r="K374" i="1" s="1"/>
  <c r="N374" i="1" s="1"/>
  <c r="N9" i="1"/>
  <c r="M21" i="1"/>
  <c r="S272" i="1"/>
  <c r="W24" i="1"/>
  <c r="Z373" i="1" l="1"/>
  <c r="Y373" i="1"/>
  <c r="Z24" i="1"/>
  <c r="Y24" i="1"/>
  <c r="M374" i="1"/>
  <c r="M385" i="1" s="1"/>
  <c r="H385" i="1"/>
  <c r="K385" i="1" s="1"/>
  <c r="N385" i="1" s="1"/>
  <c r="S374" i="1"/>
  <c r="W272" i="1"/>
  <c r="Y272" i="1" l="1"/>
  <c r="Z272" i="1"/>
  <c r="W374" i="1"/>
  <c r="S385" i="1"/>
  <c r="W385" i="1" s="1"/>
  <c r="Z385" i="1" l="1"/>
  <c r="Y385" i="1"/>
  <c r="Z374" i="1"/>
  <c r="Y374" i="1"/>
</calcChain>
</file>

<file path=xl/sharedStrings.xml><?xml version="1.0" encoding="utf-8"?>
<sst xmlns="http://schemas.openxmlformats.org/spreadsheetml/2006/main" count="686" uniqueCount="383">
  <si>
    <t>Závazný ukazatel</t>
  </si>
  <si>
    <t>Schválený rozpočet na rok 2022                                          (v tis. Kč)</t>
  </si>
  <si>
    <t>Rozpočtová opatření RM č. 1 - 22                                         (v tis. Kč)</t>
  </si>
  <si>
    <t>Rozpočet roku 2022                 po rozpočtových opatřeních RM                        č. 1 - 26                                         (v tis. Kč)</t>
  </si>
  <si>
    <t>1. změna rozpočtu                                    (v tis. Kč)</t>
  </si>
  <si>
    <t>Rozpočtová opatření RM č. 27 - 62                                    (v tis. Kč)</t>
  </si>
  <si>
    <t>Rozpočet roku 2022  po 1. změně                                  a po RO  RM                             č. 1 - 71                                    (v tis. Kč)</t>
  </si>
  <si>
    <t>2. změna                   rozpočtu                              (v tis. Kč)</t>
  </si>
  <si>
    <t>Rozpočtová opatření                   RM č. 72 - 117                              (v tis. Kč)</t>
  </si>
  <si>
    <t>Rozpočet roku 2022 po 2. změně                                  a po RO RM                                                                       č. 1 - 117                                (v tis. Kč)</t>
  </si>
  <si>
    <t>Rozdíl sl. 5 - sl. 4                                      (v tis. Kč)</t>
  </si>
  <si>
    <t xml:space="preserve">Index sl. 5/sl. 4                             </t>
  </si>
  <si>
    <t>Rozpočtová opatření                     RM č. 1 -25                                          (v tis. Kč)</t>
  </si>
  <si>
    <t>Rozpočet roku 2023             po rozpočtových opatřeních RM                  č. 1 - 31                                       (v tis. Kč)</t>
  </si>
  <si>
    <t>1. změna rozpočtu                                         (v tis. Kč)</t>
  </si>
  <si>
    <t>Rozpočtová opatření RM                  č. 32 - 66                                       (v tis. Kč)</t>
  </si>
  <si>
    <t>Rozpočet roku 2023   po  1. změně                                               a po rozpočtových opatřeních RM             č. 1 - 74                                                      (v tis. Kč)</t>
  </si>
  <si>
    <t xml:space="preserve"> 2. změna rozpočtu                                         (v tis. Kč)</t>
  </si>
  <si>
    <t xml:space="preserve"> 3. změna rozpočtu                                         (v tis. Kč)</t>
  </si>
  <si>
    <t>sl. 1</t>
  </si>
  <si>
    <t>sl. 2</t>
  </si>
  <si>
    <t>sl. 3</t>
  </si>
  <si>
    <t>sl. 4</t>
  </si>
  <si>
    <t>sl. 5</t>
  </si>
  <si>
    <t>sl. 6</t>
  </si>
  <si>
    <t>sl. 7</t>
  </si>
  <si>
    <t>6.</t>
  </si>
  <si>
    <t>7.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</si>
  <si>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</si>
  <si>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</si>
  <si>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</si>
  <si>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</si>
  <si>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</si>
  <si>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</si>
  <si>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</si>
  <si>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</si>
  <si>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</si>
  <si>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</si>
  <si>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</si>
  <si>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X</t>
  </si>
  <si>
    <t>8115 - Čerpání fondu pomoci občanům dotčeným živelními pohromami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</si>
  <si>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</si>
  <si>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</si>
  <si>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</si>
  <si>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</si>
  <si>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</si>
  <si>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</si>
  <si>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</si>
  <si>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Babylonie, z. s. - zabezpečení mezinárodního setkání mládeže s názvem "Zpátky k sobě"</t>
  </si>
  <si>
    <t>Český svaz chovatelů, z. s., Základní organizace Místek 1 - zabezpečení Výstavy holubů okrasných a strukturových plemen, drůbeže a králíků</t>
  </si>
  <si>
    <r>
      <t>MUDr. Ivana R</t>
    </r>
    <r>
      <rPr>
        <sz val="10"/>
        <color theme="1"/>
        <rFont val="Calibri"/>
        <family val="2"/>
        <charset val="238"/>
      </rPr>
      <t>öschlová - zabezpečení akce Beskydský pediatrický den 2023</t>
    </r>
  </si>
  <si>
    <t>Okresní sdružení České unie sportu Frýdek-Místek - zabezpečení akce "Vyhlášení nejúspěšnějších sportovců okresu Frýdek-Místek za rok 2022"</t>
  </si>
  <si>
    <t>ProJantar s.r.o. - zabezpečení Galavečeru předávání Cen Jantar 2022</t>
  </si>
  <si>
    <t>SH ČMS - Sbor dobrovolných hasičů Frýdek - akce Oslavy 150 let SDH Frýdek</t>
  </si>
  <si>
    <t>SH ČMS - Sbor dobrovolných hasičů Lískovec - zabezpečení plesu SDH Lískovec</t>
  </si>
  <si>
    <t>SH ČMS - Sbor dobrovolných hasičů Skalice - akce Skalický kopec</t>
  </si>
  <si>
    <t>Sjednocená organizace nevidomých a slabozrakých České republiky, zapsaný spolek - akce Festival Dny umění nevidomých na Moravě 2023</t>
  </si>
  <si>
    <t>Taneční studio DANCEPOINT, z. s. - zabezpečení Závěrečné taneční show - 18. sezóna</t>
  </si>
  <si>
    <t>Tenisový klub TENNISPOINT ve Frýdku-Místku - zabezpečení tenisových turnajů katergorie A - starší žáci: Pohár primátora města Frýdku-Místku 2023 a mladší žáci: Štít města Frýdku-Místku 2023</t>
  </si>
  <si>
    <t>Beskydská volejbalová liga amatérů, z.s. - zabezpečení 14. ročníku "Regionální beskydské volejbalové ligy"</t>
  </si>
  <si>
    <t>TJ Sokol Frýdek-Místek - výdaje na účast taneční skupiny Funky Beat na Mistrovství Evropy v Chorvatsku HIP HOP UNITE 2023 EUROPEAN CHAMPS, EUROPEAN CHAMPIONSHIPS 2023</t>
  </si>
  <si>
    <t>Včelín s.r.o. - zabezpečení akce "Frýdek-Místek žije vínem 2023"</t>
  </si>
  <si>
    <t>ZO ČSOP Nový Jičín 70/02 - záchrana volně žijících živočichů</t>
  </si>
  <si>
    <t>Tatra Veteran Sport Club Ostrava v AČR - zabezpečení akce "Veteran Rally Ostrava 2023"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</si>
  <si>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</si>
  <si>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</si>
  <si>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Neinvestiční výdaje odboru vnitřních věcí z transferů</t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</si>
  <si>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</si>
  <si>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</si>
  <si>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</si>
  <si>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</si>
  <si>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</si>
  <si>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</si>
  <si>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Plánovaná rezerva města</t>
  </si>
  <si>
    <t>Rezerva na odvody a sankce</t>
  </si>
  <si>
    <t>Ostatní neinvestiční výdaje finančního odboru</t>
  </si>
  <si>
    <t>ORJ 04-Odbor správy obecního majetku</t>
  </si>
  <si>
    <t>Neinvestiční výdaje odboru správy obecního majetku z transferů</t>
  </si>
  <si>
    <t>Neinvestiční výdaje hrazené z Fondu pomoci občanům dotčeným výstavbou komunikace R/48 - viz doplňující příloha č. 16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</si>
  <si>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</si>
  <si>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</si>
  <si>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</si>
  <si>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</si>
  <si>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</si>
  <si>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Neinvestiční výdaje odboru ŠKMaT z transferů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</si>
  <si>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</si>
  <si>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</si>
  <si>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</si>
  <si>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</si>
  <si>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</si>
  <si>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</si>
  <si>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</si>
  <si>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</si>
  <si>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</si>
  <si>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Beruška - ÚZ 913</t>
  </si>
  <si>
    <t>MŠ Pohádka - na provoz</t>
  </si>
  <si>
    <t>ZŠ a MŠ Naděje, F-M, Škarabelova 562 - na provoz MŠ K Hájku</t>
  </si>
  <si>
    <t xml:space="preserve">MŠ Sluníčko - na provoz  </t>
  </si>
  <si>
    <t>MŠ Sluníčko - ÚZ 913</t>
  </si>
  <si>
    <t>MŠ Mateřídouška - na provoz</t>
  </si>
  <si>
    <t>MŠ Mateřídouška - ÚZ 913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</si>
  <si>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</si>
  <si>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</si>
  <si>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</si>
  <si>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</si>
  <si>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>ZŠ a MŠ F-M, Lískovec - ÚZ 33092</t>
  </si>
  <si>
    <t xml:space="preserve">MŠ Radost - na provoz </t>
  </si>
  <si>
    <t>MŠ Radost - ÚZ 913</t>
  </si>
  <si>
    <t>MŠ Barevný svět - na provoz</t>
  </si>
  <si>
    <t>MŠ Barevný svět - ÚZ 33092</t>
  </si>
  <si>
    <t>ZŠ F-M, národního umělce P. Bezruče, tř. TGM 454 - na provoz</t>
  </si>
  <si>
    <t>ZŠ F-M, národního umělce P. Bezruče, tř. TGM 454 - ÚZ 33092</t>
  </si>
  <si>
    <t xml:space="preserve">ZŠ F-M, J. Čapka 2555 - na provoz </t>
  </si>
  <si>
    <t xml:space="preserve">ZŠ a MŠ Naděje, F-M, Škarabelova 562 - na provoz ZŠ </t>
  </si>
  <si>
    <t>ZŠ a MŠ Naděje, F-M, Škarabelova 562 - ÚZ 33092</t>
  </si>
  <si>
    <t>ZŠ F-M, Komenského 402 - na provoz</t>
  </si>
  <si>
    <t xml:space="preserve">ZŠ F-M, El. Krásnohorské 2254 - na provoz </t>
  </si>
  <si>
    <t>ZŠ F-M, Pionýrů 400 - na provoz</t>
  </si>
  <si>
    <t>ZŠ F-M, Pionýrů 400 - ÚZ 33092</t>
  </si>
  <si>
    <t>ZŠ F-M, 1. máje 1700 - na provoz</t>
  </si>
  <si>
    <t>ZŠ F-M, 1. máje 1700 - ÚZ 33092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</si>
  <si>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</si>
  <si>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</si>
  <si>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</si>
  <si>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</si>
  <si>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</si>
  <si>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</si>
  <si>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Středisko volného času Klíč - odborné, kariérové a polytechnické vzdělávání - ÚZ 912</t>
  </si>
  <si>
    <t>Středisko volného času Klíč - odborné, kariérové a polytechnické vzdělávání - ÚZ 253</t>
  </si>
  <si>
    <t>ZUŠ Frýdek-Místek - na provoz</t>
  </si>
  <si>
    <t>ZUŠ Frýdek-Místek - ÚZ 33092</t>
  </si>
  <si>
    <t>Městská knihovna Frýdek-Místek - na provoz</t>
  </si>
  <si>
    <t>Městská knihovna Frýdek-Místek - ÚZ 00345</t>
  </si>
  <si>
    <t>Národní dům Frýdek-Místek - na provoz</t>
  </si>
  <si>
    <t xml:space="preserve">GOODWILL v. o. š. - Seniorská akademie </t>
  </si>
  <si>
    <t>JO Tenisové tréninkové centrum z.s. - ITF 25 000 $ tenisový turnaj žen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</si>
  <si>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</si>
  <si>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</si>
  <si>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</si>
  <si>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</si>
  <si>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Farní sbor českobratrské církve evangelické ve F-M - oprava fasády kostela</t>
  </si>
  <si>
    <t>Středisko volného času Klíč - ÚZ 00833</t>
  </si>
  <si>
    <t>Židovská obec v Ostravě - na opravy židovského hřbitova</t>
  </si>
  <si>
    <t>MAS Pobeskydí, z.s. - seminář pro ředitele ZŠ a MŠ, festival inspirace v přírodních vědách</t>
  </si>
  <si>
    <t>FbC Frýdek-Místek, z.s. - Prague Games 2023"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</si>
  <si>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</si>
  <si>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</si>
  <si>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</si>
  <si>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</si>
  <si>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</si>
  <si>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</si>
  <si>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</si>
  <si>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  - Májové závody</t>
  </si>
  <si>
    <t>BK Klasik z.s. - nájem baseballového hřiště</t>
  </si>
  <si>
    <t>SK K2, z. s. - akce F-M sport FEST</t>
  </si>
  <si>
    <t xml:space="preserve">Green Volley Frýdek-Místek, z.s. - na náklady družstva dospělých volejbalistů </t>
  </si>
  <si>
    <t>HC Frýdek-Místek 2015 s. r. o. - náklady družstva dospělých hokejistů</t>
  </si>
  <si>
    <t>AIKIDO AIKIKAI F-M z.s. - akce "Sportovní víkend dětí Aikido Aikikai"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</si>
  <si>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</si>
  <si>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</si>
  <si>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</si>
  <si>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</si>
  <si>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</si>
  <si>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</si>
  <si>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</si>
  <si>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</si>
  <si>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</si>
  <si>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Obec Dobrá - neinvestiční transfer na opravu mostu přes řeku Morávku z Dobré do Skalice</t>
  </si>
  <si>
    <t>Ostatní neinvestiční výdaje odboru dopravy a silničního hospodářství</t>
  </si>
  <si>
    <t>ORJ 09-Odbor životního prostředí a zemědělství</t>
  </si>
  <si>
    <t>Neinvestiční výdaje odboru životního prostředí a zemědělství z transferů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</si>
  <si>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</si>
  <si>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</si>
  <si>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</si>
  <si>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</si>
  <si>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</si>
  <si>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</si>
  <si>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</si>
  <si>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</si>
  <si>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</si>
  <si>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Neinvestiční výdaje odboru sociálních služeb z transferů</t>
  </si>
  <si>
    <t>DP Podpora a rozvoj sociálních služeb ve městě - viz doplňující příloha č. 9</t>
  </si>
  <si>
    <t>viz dopl. příloha č. 9</t>
  </si>
  <si>
    <t>viz dopl. příloha č. 10</t>
  </si>
  <si>
    <t>DP Podpora a rozvoj ostatních aktivit navazujících na sociální služby - viz doplňující příloha č. 11</t>
  </si>
  <si>
    <t>viz dopl. příloha č. 11</t>
  </si>
  <si>
    <t>Hospic Frýdek-Místek, p. o. - ÚZ 00914</t>
  </si>
  <si>
    <t>Hospic Frýdek-Místek, p. o. - ÚZ 00354</t>
  </si>
  <si>
    <t>Jesle Frýdek-Místek, p. o. - na provoz</t>
  </si>
  <si>
    <t>Domov pro seniory Frýdek-Místek, p. o. - ÚZ 00914</t>
  </si>
  <si>
    <t>Penzion pro seniory Frýdek-Místek, p. o. - ÚZ 00914</t>
  </si>
  <si>
    <t>ŽIRAFA - Integrované centrum Frýdek-Místek, p. o. - ÚZ 00914</t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</si>
  <si>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</si>
  <si>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</si>
  <si>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</si>
  <si>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</si>
  <si>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</si>
  <si>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</si>
  <si>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</si>
  <si>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</si>
  <si>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</si>
  <si>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</si>
  <si>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Centrum pro dětský sluch Tamtam, o. p. s. - Ranná péče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</si>
  <si>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</si>
  <si>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</si>
  <si>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</si>
  <si>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</si>
  <si>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</si>
  <si>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Nadační fond Pavla Novotného - Den urologické prevence</t>
  </si>
  <si>
    <t>Senioři ČR, z. s. - aktivní senioři F-M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</si>
  <si>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</si>
  <si>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</si>
  <si>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</si>
  <si>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</si>
  <si>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Letní pobytový tábor</t>
  </si>
  <si>
    <t>Slezská diakonie - výdejna potravin</t>
  </si>
  <si>
    <t>Spolek Cesta bez bariér - oprava a údržba vozidel</t>
  </si>
  <si>
    <t>Svaz postižených civilizačními chorobami v ČR, z. s., okresní organizace Frýdek-Místek - na dopravu autobusem na zájezd pro členy svazu</t>
  </si>
  <si>
    <t>Svaz postižených civilizačními chorobami v ČR, z. s., ZO Naděje - na celoroční činnost spolku</t>
  </si>
  <si>
    <t>Charita Frýdek-Místek - Podpora dobrovolnictví</t>
  </si>
  <si>
    <t>Ostatní neinvestiční výdaje odboru sociálních služeb</t>
  </si>
  <si>
    <t>ORJ 12-Investiční odbor</t>
  </si>
  <si>
    <t>Neinvestiční výdaje investičního odboru z transferů</t>
  </si>
  <si>
    <t>Ostatní neinvestiční výdaje investičního odboru</t>
  </si>
  <si>
    <t>ORJ 13-Odbor územního rozvoje a stavebního řádu</t>
  </si>
  <si>
    <t>Neinvestiční výdaje odboru územního rozvoje a stavebního řádu z transferů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</si>
  <si>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</si>
  <si>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</si>
  <si>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</si>
  <si>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</si>
  <si>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</si>
  <si>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</si>
  <si>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>Římskokatolická farnost Místek - individuální dotace pro Kostel sv. Jakuba, Místek - sanace zdiva</t>
  </si>
  <si>
    <t xml:space="preserve">Turistické informační centrum - na provoz </t>
  </si>
  <si>
    <t>Turistické informační centrum - FM plný chutí a Beskydské rekordy - příspěvek s vyúčtováním</t>
  </si>
  <si>
    <t>Turistické informační centrum - FM plný chutí - příspěvek s vyúčtováním</t>
  </si>
  <si>
    <t>Destinační management turistické oblasti Beskydy - Valašsko, o. p. s. - příspěvek do fondu cestovního ruchu</t>
  </si>
  <si>
    <t>Sdružení pro rozvoj Moravskoslezského kraje - členský příspěvek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</si>
  <si>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</si>
  <si>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</si>
  <si>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</si>
  <si>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</si>
  <si>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</si>
  <si>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</si>
  <si>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</si>
  <si>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</si>
  <si>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Neinvestiční výdaje Městské policie z transferů</t>
  </si>
  <si>
    <t>Ostatní neinvestiční výdaje Městské policie</t>
  </si>
  <si>
    <t>ORJ 17-Odbor informačních technologií</t>
  </si>
  <si>
    <t>Neinvestiční výdaje odboru informačních technologií z transferů</t>
  </si>
  <si>
    <t>Ostatní neinvestiční výdaje odboru informačních technologií</t>
  </si>
  <si>
    <t>ORJ 18-Odbor bezpečnostních rizik a prevence kriminality</t>
  </si>
  <si>
    <t>Neinvestiční výdaje odboru bezpečnostních rizik a prevence kriminality z transferů</t>
  </si>
  <si>
    <t>viz dopl. příloha č. 6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</si>
  <si>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</si>
  <si>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</si>
  <si>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</si>
  <si>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</si>
  <si>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</si>
  <si>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Kapitálové výdaje odboru vnitřních věcí z transferů</t>
  </si>
  <si>
    <t>Výdaje na investiční akce</t>
  </si>
  <si>
    <t>Kapitálové výdaje hrazené ze sociálního fondu</t>
  </si>
  <si>
    <t>Ostatní kapitálové výdaje odboru vnitřních věcí</t>
  </si>
  <si>
    <t>x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</si>
  <si>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</si>
  <si>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</si>
  <si>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</si>
  <si>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</si>
  <si>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</si>
  <si>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</si>
  <si>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</si>
  <si>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</si>
  <si>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Nabytí pozemku p. č. 153 zastavěná plocha a nádvoří, jehož součástí je stavba č.p. 113, občanská vybavenost, pozemku p.č. 154/1 ostatní plocha, zeleň, pozemku p.č. 154/3 ostatní plocha, ostatní komunikace a pozemku p.č. 154/4 ostatní plocha, zeleň, vše k.ú. Místek, obec Frýdek-Místek, zapsáno na listu vlastnictví č. 1662 u Katastrálního úřadu pro Moravskoslezský kraj, Katastrální pracoviště Frýdek-Místek (tzv. "Český dům"), včetně všech součástí a příslušenství</t>
  </si>
  <si>
    <t>Kapitálové výdaje hrazené z Fondu pomoci občanům dotčeným výstavbou komunikace R/48</t>
  </si>
  <si>
    <t>Ostatní kapitálové výdaje odboru správy obecního majetku</t>
  </si>
  <si>
    <t>Ostatní kapitálové výdaje živnostenského úřadu</t>
  </si>
  <si>
    <t>Kapitálové výdaje odboru ŠKMaT z transferů</t>
  </si>
  <si>
    <t>MŠ Pohádka - investiční transfer na výměnu nefunkčních radiátorových ventilů za termoventily - s vyúčtováním</t>
  </si>
  <si>
    <t>MŠ Radost - investiční transfer na projekt "Zahrada s přírodními prvky MŠ J. Trnky" poskytnutý ex post - bez vyúčtování</t>
  </si>
  <si>
    <t>MŠ Radost - investiční transfer na pořízení konvektomatu - s vyúčtováním</t>
  </si>
  <si>
    <t>ZŠ a MŠ F-M, Skalice 192 - investiční transfer na vybudování šaten v MŠ - s vyúčtováním</t>
  </si>
  <si>
    <t>ZŠ nár. um. P. Bezruče, F-M, tř. TGM 454 - pořízení konvektomatu - s vyúčtováním</t>
  </si>
  <si>
    <t>ZŠ F-M, Pionýrů 400 - investiční transfer na výměnu osvětlení ve sportovní hale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</si>
  <si>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</si>
  <si>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</si>
  <si>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</si>
  <si>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</si>
  <si>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ZŠ a MŠ F-M, Lískovec, K Sedlištím 320 - investiční transfer na výstavbu bezbariérového WC v ZŠ - s vyúčtováním</t>
  </si>
  <si>
    <t>ZŠ a MŠ F-M Chlebovice, Pod Kabáticí 107 - investiční transfer na výměnu střešních oken v ZŠ - s vyúčtováním</t>
  </si>
  <si>
    <t>Městská knihovna Frýdek-Místek - investiční dotace na realizaci projektu "Vybavení knihovny RFID technologií a samoobslužným půjčováním - III. etapa" - ÚZ 34544</t>
  </si>
  <si>
    <t>Ostatní kapitálové výdaje odboru ŠKMaT</t>
  </si>
  <si>
    <t>Kapitálové výdaje odboru dopravy a silničního hospodářství z transferů</t>
  </si>
  <si>
    <t>Ostatní kapitálové výdaje odboru dopravy a silničního hospodářství</t>
  </si>
  <si>
    <t>Kapitálové výdaje odboru životního prostředí a zemědělství z transferů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</si>
  <si>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</si>
  <si>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</si>
  <si>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</si>
  <si>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Investiční transfery společenstvím vlastníků jednotek BD v Lískovci ve F-M - ČOV</t>
  </si>
  <si>
    <t>Ostatní kapitálové výdaje odboru životního prostředí a zemědělství</t>
  </si>
  <si>
    <t>Kapitálové výdaje odboru sociálních služeb z transferů</t>
  </si>
  <si>
    <t xml:space="preserve">Nemocnice ve Frýdku-Místku, p. o. - Smlouva o spolupráci </t>
  </si>
  <si>
    <t>Ostatní kapitálové výdaje odboru sociálních služeb</t>
  </si>
  <si>
    <t>Kapitálové výdaje investičního odboru z transferů</t>
  </si>
  <si>
    <t>Rezerva na realizaci akcí vybraných z participativního rozpočtu</t>
  </si>
  <si>
    <t>Rezerva na investice</t>
  </si>
  <si>
    <t>Ostatní kapitálové výdaje investičního odboru</t>
  </si>
  <si>
    <t>Kapitálové výdaje odboru územního rozvoje a stavebního řádu z transferů</t>
  </si>
  <si>
    <t>DP Pořízení hybridních automobilů - viz doplňující příloha č. 12</t>
  </si>
  <si>
    <t>viz dopl. příloha č. 12</t>
  </si>
  <si>
    <t>Rezerva na spolufinancování dotací</t>
  </si>
  <si>
    <t>Finanční dar na veřejnou sbírku "DARUJ F≈M - Flow trail Palkovické hůrky"</t>
  </si>
  <si>
    <t>Ostatní kapitálové výdaje odboru územního rozvoje a stavebního řádu</t>
  </si>
  <si>
    <t>Kapitálové výdaje Městské policie z transferů</t>
  </si>
  <si>
    <t>Kapitálové výdaje odboru informačních technologií z transferů</t>
  </si>
  <si>
    <t>Kapitálové výdaje odboru bezpečnostních rizik a prevence kriminality z transferů</t>
  </si>
  <si>
    <t>HZS Moravskoslezský kraj - investiční dotace na rekonstrukci budov hasičské stanice ve Frýdku-Místku</t>
  </si>
  <si>
    <t>SH ČMS Skalice - investiční transfer na nákup požárního stroje PS12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</si>
  <si>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</si>
  <si>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</si>
  <si>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</si>
  <si>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</si>
  <si>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</si>
  <si>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</si>
  <si>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</si>
  <si>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</si>
  <si>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</si>
  <si>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</si>
  <si>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</si>
  <si>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</si>
  <si>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</si>
  <si>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</si>
  <si>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</si>
  <si>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Rozpočtová opatření RM                    č. 75 - 106                                           (v tis. Kč)</t>
  </si>
  <si>
    <t>Nemocnice ve Frýdku-Místku, p. o. - zabezpečení konference Moderní ošetřovatelství v každodenní praxi</t>
  </si>
  <si>
    <t>SH ČMS - Sbor dobrovolných hasičů Místek-Bahno - vydání knihy o historii SDH Bahno ke 100 letému výročí založení</t>
  </si>
  <si>
    <t>ZŠ a MŠ F-M, Skalice - ÚZ 33092</t>
  </si>
  <si>
    <t>ZŠ F-M, J. z Poděbrad 3109 - ÚZ 33092</t>
  </si>
  <si>
    <t>ZŠ a MŠ F-M, Lískovec - ÚZ 333</t>
  </si>
  <si>
    <t>ZŠ F-M, J. Čapka 2555 - ÚZ 333</t>
  </si>
  <si>
    <t>BŠŠ z. s. - MS, ME, MEU jednotlivců v šachu</t>
  </si>
  <si>
    <t>Turistické informační centrum - ÚZ 00673</t>
  </si>
  <si>
    <t>Turistické informační centrum - ÚZ 00801</t>
  </si>
  <si>
    <t>Zachování a obnova kulturních památek - Římskokatolická farnost Místek - obnova kostela sv. Jakuba, F-M - ÚZ 34054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</si>
  <si>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</si>
  <si>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</si>
  <si>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</si>
  <si>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</si>
  <si>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</si>
  <si>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sl. 4.</t>
  </si>
  <si>
    <t>8115 - Čerpání fondu obnovy vodovodů a kanalizací</t>
  </si>
  <si>
    <t>1.1.2024 - 31.12.2024</t>
  </si>
  <si>
    <t>1.1.2024 - 13.12.2024</t>
  </si>
  <si>
    <t>TJ Slezan F-M, z.s. - Hornická destíka</t>
  </si>
  <si>
    <t>1.1.2024 - 30.6.2024</t>
  </si>
  <si>
    <t>1.1.2024 - 30.12.2024</t>
  </si>
  <si>
    <t>1.1.2024 - 31.7.2024</t>
  </si>
  <si>
    <t>1.1.2024 - 30.11.2024</t>
  </si>
  <si>
    <t>Římskokatolická farnost Frýdek - na obnovu krypty a dalších prostor baziliky Navštívení ve Frýdku</t>
  </si>
  <si>
    <t>DP Podpora a rozvoj činností v oblasti rodinné politiky - viz doplňující příloha č. 10</t>
  </si>
  <si>
    <t>Charita Frýdek-Místek - doučování</t>
  </si>
  <si>
    <t>Slezská diakonie - projekt "Stravenka F-M"</t>
  </si>
  <si>
    <t>DP Podpora projektů v oblasti zdravotnictví</t>
  </si>
  <si>
    <t>Region Beskydy - neinvestiční dotace</t>
  </si>
  <si>
    <t>Finanční dar na veřejnou sbírku "DARUJ F≈M - Modernizace Lidového domu" - neinvestiční část</t>
  </si>
  <si>
    <t>1.1.2024 - 30.6.2025</t>
  </si>
  <si>
    <t>Finanční dar na veřejnou sbírku "DARUJ F≈M - Herní prvky pro Azylový dům Sára"</t>
  </si>
  <si>
    <t>DP Prevence kriminality</t>
  </si>
  <si>
    <t>Investiční výdaje hrazené z Fondu obnovy vodovodu a kanalizací - Rekonstrukce stoky - ul. Bruzovská</t>
  </si>
  <si>
    <t>Individuální dotace vlastníkům vodovodu ul. J. Mahena</t>
  </si>
  <si>
    <t>Finanční dar na veřejnou sbírku "DARUJ F≈M - Modernizace Lidového domu" - investiční část</t>
  </si>
  <si>
    <t>Investiční dotace obci Baška na akci "První úsek cyklostezky Frýdek-Místek - Baška, lávka u železniční stanice"</t>
  </si>
  <si>
    <t>x)  V návrhu rozpočtu r. 2024 je navrhováno tento závazný ukazatel samostatně nevyčleňovat</t>
  </si>
  <si>
    <t>1.1.2024 - 30.9.2024</t>
  </si>
  <si>
    <t>Rezerva na provoz zubní pohotovosti</t>
  </si>
  <si>
    <t xml:space="preserve">   Časová použitelnost                 dotací a příspěvků                 (od - do)</t>
  </si>
  <si>
    <t xml:space="preserve">  Rozdíl                      sl. 5 - sl. 4                  (v tis. Kč)</t>
  </si>
  <si>
    <t xml:space="preserve">  Index      sl. 5/sl. 4                                        </t>
  </si>
  <si>
    <t>Nemocnice ve F-M, p.o. - na náklady spojené s proškolením žáků na KPR a Nebojme se zubaře pro žáky ZŠ</t>
  </si>
  <si>
    <t>Projekt "Příspěvek na obědy v ZŠ ve FM" - příspěvek s vyúčtováním z toho:- rezerva na obědy žáků s trvalým pobytem na území statutárního města Frýdek-Místek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</si>
  <si>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6</t>
    </r>
  </si>
  <si>
    <t>Schválený                     rozpočet                       na rok 2023                                          (v tis. Kč)</t>
  </si>
  <si>
    <t>Schválený                 rozpočet                              na rok 2024                   (v tis. Kč)</t>
  </si>
  <si>
    <t xml:space="preserve"> Rozpočet roku 2023     po 3. změně                                  a po RO RM                                                                       č. 1 - 106             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</si>
</sst>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4" fontId="4" fillId="0" borderId="15" xfId="0" applyNumberFormat="1" applyFont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horizontal="right" vertical="center"/>
    </xf>
    <xf numFmtId="4" fontId="4" fillId="0" borderId="20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4" fontId="4" fillId="0" borderId="23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5" fillId="4" borderId="4" xfId="0" applyNumberFormat="1" applyFont="1" applyFill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5" fillId="4" borderId="5" xfId="0" applyNumberFormat="1" applyFont="1" applyFill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right" vertical="center"/>
    </xf>
    <xf numFmtId="0" fontId="1" fillId="5" borderId="1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5" borderId="4" xfId="0" applyNumberFormat="1" applyFont="1" applyFill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5" borderId="5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12" xfId="0" applyNumberFormat="1" applyFont="1" applyBorder="1" applyAlignment="1">
      <alignment horizontal="right" vertical="center"/>
    </xf>
    <xf numFmtId="0" fontId="6" fillId="0" borderId="21" xfId="0" applyFont="1" applyBorder="1" applyAlignment="1">
      <alignment vertical="center" wrapText="1"/>
    </xf>
    <xf numFmtId="4" fontId="4" fillId="0" borderId="23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0" fontId="1" fillId="5" borderId="2" xfId="0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vertical="center"/>
    </xf>
    <xf numFmtId="4" fontId="1" fillId="5" borderId="4" xfId="0" applyNumberFormat="1" applyFont="1" applyFill="1" applyBorder="1" applyAlignment="1">
      <alignment vertical="center"/>
    </xf>
    <xf numFmtId="4" fontId="1" fillId="5" borderId="2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vertical="center"/>
    </xf>
    <xf numFmtId="4" fontId="5" fillId="6" borderId="4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4" fontId="5" fillId="6" borderId="5" xfId="0" applyNumberFormat="1" applyFont="1" applyFill="1" applyBorder="1" applyAlignment="1">
      <alignment vertical="center"/>
    </xf>
    <xf numFmtId="0" fontId="1" fillId="7" borderId="1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4" fontId="4" fillId="7" borderId="4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4" fillId="7" borderId="5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right" vertical="center"/>
    </xf>
    <xf numFmtId="4" fontId="1" fillId="8" borderId="3" xfId="0" applyNumberFormat="1" applyFont="1" applyFill="1" applyBorder="1" applyAlignment="1">
      <alignment vertical="center"/>
    </xf>
    <xf numFmtId="4" fontId="1" fillId="8" borderId="4" xfId="0" applyNumberFormat="1" applyFont="1" applyFill="1" applyBorder="1" applyAlignment="1">
      <alignment vertical="center"/>
    </xf>
    <xf numFmtId="4" fontId="1" fillId="8" borderId="2" xfId="0" applyNumberFormat="1" applyFont="1" applyFill="1" applyBorder="1" applyAlignment="1">
      <alignment vertical="center"/>
    </xf>
    <xf numFmtId="4" fontId="1" fillId="8" borderId="5" xfId="0" applyNumberFormat="1" applyFont="1" applyFill="1" applyBorder="1" applyAlignment="1">
      <alignment vertical="center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/>
    </xf>
    <xf numFmtId="4" fontId="4" fillId="0" borderId="26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horizontal="right" vertical="center"/>
    </xf>
    <xf numFmtId="4" fontId="4" fillId="0" borderId="27" xfId="0" applyNumberFormat="1" applyFont="1" applyBorder="1" applyAlignment="1">
      <alignment vertical="center"/>
    </xf>
    <xf numFmtId="0" fontId="4" fillId="0" borderId="2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4" fillId="0" borderId="20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 wrapText="1"/>
    </xf>
    <xf numFmtId="4" fontId="4" fillId="0" borderId="30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horizontal="right" vertical="center"/>
    </xf>
    <xf numFmtId="4" fontId="4" fillId="0" borderId="31" xfId="0" applyNumberFormat="1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8" borderId="3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7" fillId="8" borderId="2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4" fontId="4" fillId="3" borderId="19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3" borderId="19" xfId="0" applyFont="1" applyFill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4" fontId="4" fillId="3" borderId="20" xfId="0" applyNumberFormat="1" applyFont="1" applyFill="1" applyBorder="1" applyAlignment="1">
      <alignment vertical="center"/>
    </xf>
    <xf numFmtId="0" fontId="4" fillId="3" borderId="18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4" fontId="4" fillId="3" borderId="23" xfId="0" applyNumberFormat="1" applyFont="1" applyFill="1" applyBorder="1" applyAlignment="1">
      <alignment vertical="center"/>
    </xf>
    <xf numFmtId="4" fontId="4" fillId="3" borderId="1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7" fillId="8" borderId="2" xfId="0" applyNumberFormat="1" applyFont="1" applyFill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5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1" fillId="7" borderId="2" xfId="0" applyFont="1" applyFill="1" applyBorder="1" applyAlignment="1">
      <alignment horizontal="center" vertical="center"/>
    </xf>
    <xf numFmtId="4" fontId="1" fillId="7" borderId="3" xfId="0" applyNumberFormat="1" applyFont="1" applyFill="1" applyBorder="1" applyAlignment="1">
      <alignment vertical="center"/>
    </xf>
    <xf numFmtId="4" fontId="1" fillId="7" borderId="4" xfId="0" applyNumberFormat="1" applyFont="1" applyFill="1" applyBorder="1" applyAlignment="1">
      <alignment vertical="center"/>
    </xf>
    <xf numFmtId="4" fontId="1" fillId="7" borderId="2" xfId="0" applyNumberFormat="1" applyFont="1" applyFill="1" applyBorder="1" applyAlignment="1">
      <alignment vertical="center"/>
    </xf>
    <xf numFmtId="4" fontId="1" fillId="7" borderId="5" xfId="0" applyNumberFormat="1" applyFont="1" applyFill="1" applyBorder="1" applyAlignment="1">
      <alignment vertical="center"/>
    </xf>
    <xf numFmtId="4" fontId="1" fillId="3" borderId="8" xfId="0" applyNumberFormat="1" applyFont="1" applyFill="1" applyBorder="1" applyAlignment="1">
      <alignment vertical="center"/>
    </xf>
    <xf numFmtId="4" fontId="1" fillId="3" borderId="9" xfId="0" applyNumberFormat="1" applyFont="1" applyFill="1" applyBorder="1" applyAlignment="1">
      <alignment vertical="center"/>
    </xf>
    <xf numFmtId="4" fontId="1" fillId="3" borderId="7" xfId="0" applyNumberFormat="1" applyFont="1" applyFill="1" applyBorder="1" applyAlignment="1">
      <alignment vertical="center"/>
    </xf>
    <xf numFmtId="0" fontId="7" fillId="7" borderId="2" xfId="0" applyFont="1" applyFill="1" applyBorder="1" applyAlignment="1">
      <alignment horizontal="center" vertical="center"/>
    </xf>
    <xf numFmtId="4" fontId="1" fillId="8" borderId="3" xfId="0" applyNumberFormat="1" applyFont="1" applyFill="1" applyBorder="1" applyAlignment="1">
      <alignment horizontal="right" vertical="center"/>
    </xf>
    <xf numFmtId="4" fontId="1" fillId="8" borderId="2" xfId="0" applyNumberFormat="1" applyFont="1" applyFill="1" applyBorder="1" applyAlignment="1">
      <alignment horizontal="right" vertical="center"/>
    </xf>
    <xf numFmtId="4" fontId="1" fillId="8" borderId="5" xfId="0" applyNumberFormat="1" applyFont="1" applyFill="1" applyBorder="1" applyAlignment="1">
      <alignment horizontal="right" vertical="center"/>
    </xf>
    <xf numFmtId="0" fontId="1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12" fillId="8" borderId="4" xfId="0" applyNumberFormat="1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horizontal="right" vertical="center"/>
    </xf>
    <xf numFmtId="4" fontId="12" fillId="8" borderId="2" xfId="0" applyNumberFormat="1" applyFont="1" applyFill="1" applyBorder="1" applyAlignment="1">
      <alignment horizontal="right" vertical="center"/>
    </xf>
    <xf numFmtId="4" fontId="12" fillId="8" borderId="5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vertical="center" wrapText="1"/>
    </xf>
    <xf numFmtId="4" fontId="4" fillId="0" borderId="26" xfId="0" applyNumberFormat="1" applyFont="1" applyBorder="1" applyAlignment="1">
      <alignment horizontal="right" vertical="center"/>
    </xf>
    <xf numFmtId="0" fontId="6" fillId="3" borderId="6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vertical="center"/>
    </xf>
    <xf numFmtId="0" fontId="5" fillId="7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4" fontId="13" fillId="5" borderId="3" xfId="0" applyNumberFormat="1" applyFont="1" applyFill="1" applyBorder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5" xfId="0" applyNumberFormat="1" applyFont="1" applyFill="1" applyBorder="1" applyAlignment="1">
      <alignment horizontal="right" vertical="center"/>
    </xf>
    <xf numFmtId="0" fontId="5" fillId="6" borderId="2" xfId="0" applyFont="1" applyFill="1" applyBorder="1" applyAlignment="1">
      <alignment horizontal="center" vertical="center"/>
    </xf>
    <xf numFmtId="4" fontId="5" fillId="6" borderId="2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4" fontId="5" fillId="6" borderId="5" xfId="0" applyNumberFormat="1" applyFont="1" applyFill="1" applyBorder="1" applyAlignment="1">
      <alignment horizontal="right" vertical="center"/>
    </xf>
    <xf numFmtId="4" fontId="4" fillId="5" borderId="2" xfId="0" applyNumberFormat="1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horizontal="right" vertical="center"/>
    </xf>
    <xf numFmtId="4" fontId="4" fillId="5" borderId="5" xfId="0" applyNumberFormat="1" applyFont="1" applyFill="1" applyBorder="1" applyAlignment="1">
      <alignment horizontal="right" vertical="center"/>
    </xf>
    <xf numFmtId="4" fontId="7" fillId="5" borderId="3" xfId="0" applyNumberFormat="1" applyFont="1" applyFill="1" applyBorder="1" applyAlignment="1">
      <alignment vertical="center"/>
    </xf>
    <xf numFmtId="4" fontId="7" fillId="5" borderId="4" xfId="0" applyNumberFormat="1" applyFont="1" applyFill="1" applyBorder="1" applyAlignment="1">
      <alignment vertical="center"/>
    </xf>
    <xf numFmtId="4" fontId="7" fillId="5" borderId="5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horizontal="right" vertical="center"/>
    </xf>
    <xf numFmtId="4" fontId="7" fillId="5" borderId="3" xfId="0" applyNumberFormat="1" applyFont="1" applyFill="1" applyBorder="1" applyAlignment="1">
      <alignment horizontal="right" vertical="center"/>
    </xf>
    <xf numFmtId="4" fontId="7" fillId="5" borderId="5" xfId="0" applyNumberFormat="1" applyFont="1" applyFill="1" applyBorder="1" applyAlignment="1">
      <alignment horizontal="right" vertical="center"/>
    </xf>
    <xf numFmtId="0" fontId="0" fillId="0" borderId="14" xfId="0" applyBorder="1"/>
    <xf numFmtId="0" fontId="0" fillId="0" borderId="13" xfId="0" applyBorder="1"/>
    <xf numFmtId="0" fontId="0" fillId="0" borderId="26" xfId="0" applyBorder="1"/>
    <xf numFmtId="0" fontId="0" fillId="0" borderId="20" xfId="0" applyBorder="1"/>
    <xf numFmtId="0" fontId="5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vertical="center"/>
    </xf>
    <xf numFmtId="4" fontId="5" fillId="3" borderId="4" xfId="0" applyNumberFormat="1" applyFont="1" applyFill="1" applyBorder="1" applyAlignment="1">
      <alignment vertical="center"/>
    </xf>
    <xf numFmtId="4" fontId="5" fillId="3" borderId="2" xfId="0" applyNumberFormat="1" applyFont="1" applyFill="1" applyBorder="1" applyAlignment="1">
      <alignment vertical="center"/>
    </xf>
    <xf numFmtId="4" fontId="5" fillId="3" borderId="5" xfId="0" applyNumberFormat="1" applyFont="1" applyFill="1" applyBorder="1" applyAlignment="1">
      <alignment vertical="center"/>
    </xf>
    <xf numFmtId="4" fontId="5" fillId="3" borderId="2" xfId="0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 applyAlignment="1">
      <alignment horizontal="right" vertical="center"/>
    </xf>
    <xf numFmtId="4" fontId="5" fillId="3" borderId="5" xfId="0" applyNumberFormat="1" applyFont="1" applyFill="1" applyBorder="1" applyAlignment="1">
      <alignment horizontal="right" vertical="center"/>
    </xf>
    <xf numFmtId="4" fontId="0" fillId="0" borderId="0" xfId="0" applyNumberFormat="1"/>
    <xf numFmtId="4" fontId="4" fillId="3" borderId="20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vertical="center" wrapText="1"/>
    </xf>
    <xf numFmtId="4" fontId="4" fillId="0" borderId="0" xfId="0" applyNumberFormat="1" applyFont="1" applyAlignment="1">
      <alignment vertical="center"/>
    </xf>
    <xf numFmtId="0" fontId="0" fillId="3" borderId="0" xfId="0" applyFill="1"/>
    <xf numFmtId="0" fontId="0" fillId="3" borderId="26" xfId="0" applyFill="1" applyBorder="1"/>
    <xf numFmtId="0" fontId="0" fillId="3" borderId="20" xfId="0" applyFill="1" applyBorder="1"/>
    <xf numFmtId="0" fontId="2" fillId="2" borderId="33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34" xfId="0" applyFont="1" applyFill="1" applyBorder="1" applyAlignment="1">
      <alignment horizontal="center"/>
    </xf>
    <xf numFmtId="0" fontId="0" fillId="4" borderId="33" xfId="0" applyFill="1" applyBorder="1" applyAlignment="1">
      <alignment vertical="center"/>
    </xf>
    <xf numFmtId="4" fontId="4" fillId="0" borderId="35" xfId="0" applyNumberFormat="1" applyFont="1" applyBorder="1" applyAlignment="1">
      <alignment vertical="center"/>
    </xf>
    <xf numFmtId="4" fontId="5" fillId="4" borderId="33" xfId="0" applyNumberFormat="1" applyFont="1" applyFill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4" fontId="4" fillId="5" borderId="33" xfId="0" applyNumberFormat="1" applyFont="1" applyFill="1" applyBorder="1" applyAlignment="1">
      <alignment vertical="center"/>
    </xf>
    <xf numFmtId="4" fontId="4" fillId="0" borderId="35" xfId="0" applyNumberFormat="1" applyFont="1" applyBorder="1" applyAlignment="1">
      <alignment horizontal="right" vertical="center"/>
    </xf>
    <xf numFmtId="4" fontId="1" fillId="5" borderId="33" xfId="0" applyNumberFormat="1" applyFont="1" applyFill="1" applyBorder="1" applyAlignment="1">
      <alignment vertical="center"/>
    </xf>
    <xf numFmtId="4" fontId="5" fillId="6" borderId="33" xfId="0" applyNumberFormat="1" applyFont="1" applyFill="1" applyBorder="1" applyAlignment="1">
      <alignment vertical="center"/>
    </xf>
    <xf numFmtId="4" fontId="4" fillId="7" borderId="33" xfId="0" applyNumberFormat="1" applyFont="1" applyFill="1" applyBorder="1" applyAlignment="1">
      <alignment vertical="center"/>
    </xf>
    <xf numFmtId="4" fontId="1" fillId="8" borderId="33" xfId="0" applyNumberFormat="1" applyFont="1" applyFill="1" applyBorder="1" applyAlignment="1">
      <alignment vertical="center"/>
    </xf>
    <xf numFmtId="4" fontId="4" fillId="0" borderId="36" xfId="0" applyNumberFormat="1" applyFont="1" applyBorder="1" applyAlignment="1">
      <alignment horizontal="right" vertical="center"/>
    </xf>
    <xf numFmtId="4" fontId="4" fillId="0" borderId="36" xfId="0" applyNumberFormat="1" applyFont="1" applyBorder="1" applyAlignment="1">
      <alignment vertical="center"/>
    </xf>
    <xf numFmtId="4" fontId="4" fillId="3" borderId="35" xfId="0" applyNumberFormat="1" applyFont="1" applyFill="1" applyBorder="1" applyAlignment="1">
      <alignment vertical="center"/>
    </xf>
    <xf numFmtId="4" fontId="4" fillId="3" borderId="36" xfId="0" applyNumberFormat="1" applyFont="1" applyFill="1" applyBorder="1" applyAlignment="1">
      <alignment horizontal="right" vertical="center"/>
    </xf>
    <xf numFmtId="4" fontId="4" fillId="3" borderId="36" xfId="0" applyNumberFormat="1" applyFont="1" applyFill="1" applyBorder="1" applyAlignment="1">
      <alignment vertical="center"/>
    </xf>
    <xf numFmtId="4" fontId="1" fillId="7" borderId="33" xfId="0" applyNumberFormat="1" applyFont="1" applyFill="1" applyBorder="1" applyAlignment="1">
      <alignment vertical="center"/>
    </xf>
    <xf numFmtId="4" fontId="1" fillId="3" borderId="0" xfId="0" applyNumberFormat="1" applyFont="1" applyFill="1" applyAlignment="1">
      <alignment vertical="center"/>
    </xf>
    <xf numFmtId="4" fontId="1" fillId="3" borderId="34" xfId="0" applyNumberFormat="1" applyFont="1" applyFill="1" applyBorder="1" applyAlignment="1">
      <alignment vertical="center"/>
    </xf>
    <xf numFmtId="4" fontId="1" fillId="8" borderId="33" xfId="0" applyNumberFormat="1" applyFont="1" applyFill="1" applyBorder="1" applyAlignment="1">
      <alignment horizontal="right" vertical="center"/>
    </xf>
    <xf numFmtId="4" fontId="4" fillId="0" borderId="37" xfId="0" applyNumberFormat="1" applyFont="1" applyBorder="1" applyAlignment="1">
      <alignment horizontal="right" vertical="center"/>
    </xf>
    <xf numFmtId="4" fontId="12" fillId="8" borderId="33" xfId="0" applyNumberFormat="1" applyFont="1" applyFill="1" applyBorder="1" applyAlignment="1">
      <alignment horizontal="right" vertical="center"/>
    </xf>
    <xf numFmtId="4" fontId="4" fillId="0" borderId="37" xfId="0" applyNumberFormat="1" applyFont="1" applyBorder="1" applyAlignment="1">
      <alignment vertical="center"/>
    </xf>
    <xf numFmtId="4" fontId="4" fillId="0" borderId="0" xfId="0" applyNumberFormat="1" applyFont="1" applyAlignment="1">
      <alignment horizontal="right" vertical="center"/>
    </xf>
    <xf numFmtId="4" fontId="5" fillId="3" borderId="33" xfId="0" applyNumberFormat="1" applyFont="1" applyFill="1" applyBorder="1" applyAlignment="1">
      <alignment vertical="center"/>
    </xf>
    <xf numFmtId="4" fontId="4" fillId="0" borderId="34" xfId="0" applyNumberFormat="1" applyFont="1" applyBorder="1" applyAlignment="1">
      <alignment horizontal="right" vertical="center"/>
    </xf>
    <xf numFmtId="4" fontId="7" fillId="5" borderId="33" xfId="0" applyNumberFormat="1" applyFont="1" applyFill="1" applyBorder="1" applyAlignment="1">
      <alignment horizontal="right" vertical="center"/>
    </xf>
    <xf numFmtId="0" fontId="6" fillId="3" borderId="22" xfId="0" applyFont="1" applyFill="1" applyBorder="1" applyAlignment="1">
      <alignment horizontal="center" vertical="center"/>
    </xf>
    <xf numFmtId="0" fontId="4" fillId="0" borderId="38" xfId="0" applyFont="1" applyBorder="1" applyAlignment="1">
      <alignment vertical="center"/>
    </xf>
    <xf numFmtId="0" fontId="4" fillId="0" borderId="39" xfId="0" applyFont="1" applyBorder="1" applyAlignment="1">
      <alignment horizontal="center"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39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4" fontId="4" fillId="0" borderId="39" xfId="0" applyNumberFormat="1" applyFont="1" applyBorder="1" applyAlignment="1">
      <alignment horizontal="right" vertical="center"/>
    </xf>
    <xf numFmtId="4" fontId="4" fillId="0" borderId="40" xfId="0" applyNumberFormat="1" applyFont="1" applyBorder="1" applyAlignment="1">
      <alignment horizontal="right" vertical="center"/>
    </xf>
    <xf numFmtId="4" fontId="4" fillId="0" borderId="43" xfId="0" applyNumberFormat="1" applyFont="1" applyBorder="1" applyAlignment="1">
      <alignment horizontal="right" vertical="center"/>
    </xf>
    <xf numFmtId="0" fontId="4" fillId="0" borderId="38" xfId="0" applyFont="1" applyBorder="1" applyAlignment="1">
      <alignment vertical="center" wrapText="1"/>
    </xf>
    <xf numFmtId="0" fontId="14" fillId="0" borderId="0" xfId="0" applyFont="1"/>
    <xf numFmtId="4" fontId="4" fillId="0" borderId="43" xfId="0" applyNumberFormat="1" applyFont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vertical="center"/>
    </xf>
    <xf numFmtId="4" fontId="1" fillId="3" borderId="4" xfId="0" applyNumberFormat="1" applyFont="1" applyFill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1" fillId="3" borderId="2" xfId="0" applyNumberFormat="1" applyFont="1" applyFill="1" applyBorder="1" applyAlignment="1">
      <alignment vertical="center"/>
    </xf>
    <xf numFmtId="4" fontId="1" fillId="3" borderId="5" xfId="0" applyNumberFormat="1" applyFont="1" applyFill="1" applyBorder="1" applyAlignment="1">
      <alignment vertical="center"/>
    </xf>
    <xf numFmtId="4" fontId="1" fillId="3" borderId="33" xfId="0" applyNumberFormat="1" applyFont="1" applyFill="1" applyBorder="1" applyAlignment="1">
      <alignment vertical="center"/>
    </xf>
    <xf numFmtId="4" fontId="4" fillId="3" borderId="40" xfId="0" applyNumberFormat="1" applyFont="1" applyFill="1" applyBorder="1" applyAlignment="1">
      <alignment vertical="center"/>
    </xf>
    <xf numFmtId="4" fontId="4" fillId="3" borderId="43" xfId="0" applyNumberFormat="1" applyFont="1" applyFill="1" applyBorder="1" applyAlignment="1">
      <alignment vertical="center"/>
    </xf>
    <xf numFmtId="4" fontId="4" fillId="0" borderId="20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21E51-F3A9-4C76-9E41-D2A1C3EBC5D3}">
  <dimension ref="A1:AA392"/>
  <sheetViews>
    <sheetView tabSelected="1" view="pageLayout" zoomScale="90" zoomScaleNormal="100" zoomScalePageLayoutView="90" workbookViewId="0">
      <selection activeCell="B10" sqref="B10"/>
    </sheetView>
  </sheetViews>
  <sheetFormatPr defaultColWidth="9.140625" defaultRowHeight="15" x14ac:dyDescent="0.25"/>
  <cols>
    <col min="1" max="1" width="53.85546875" customWidth="1"/>
    <col min="2" max="2" width="17.42578125" customWidth="1"/>
    <col min="3" max="3" width="13.7109375" hidden="1" customWidth="1"/>
    <col min="4" max="4" width="12.7109375" style="180" hidden="1" customWidth="1"/>
    <col min="5" max="5" width="12.7109375" style="181" hidden="1" customWidth="1"/>
    <col min="6" max="6" width="12.7109375" hidden="1" customWidth="1"/>
    <col min="7" max="7" width="0.42578125" hidden="1" customWidth="1"/>
    <col min="8" max="8" width="14.28515625" hidden="1" customWidth="1"/>
    <col min="9" max="9" width="11.85546875" hidden="1" customWidth="1"/>
    <col min="10" max="10" width="12.5703125" hidden="1" customWidth="1"/>
    <col min="11" max="11" width="0.28515625" hidden="1" customWidth="1"/>
    <col min="12" max="12" width="13.28515625" customWidth="1"/>
    <col min="13" max="13" width="13.140625" hidden="1" customWidth="1"/>
    <col min="14" max="14" width="11.140625" hidden="1" customWidth="1"/>
    <col min="15" max="15" width="17.42578125" hidden="1" customWidth="1"/>
    <col min="16" max="16" width="15.140625" hidden="1" customWidth="1"/>
    <col min="17" max="17" width="13.5703125" hidden="1" customWidth="1"/>
    <col min="18" max="18" width="12.5703125" hidden="1" customWidth="1"/>
    <col min="19" max="19" width="13.85546875" hidden="1" customWidth="1"/>
    <col min="20" max="20" width="13.28515625" hidden="1" customWidth="1"/>
    <col min="21" max="21" width="9.5703125" hidden="1" customWidth="1"/>
    <col min="22" max="22" width="1.7109375" hidden="1" customWidth="1"/>
    <col min="23" max="23" width="14.5703125" customWidth="1"/>
    <col min="24" max="24" width="13.42578125" customWidth="1"/>
    <col min="25" max="25" width="12" customWidth="1"/>
    <col min="26" max="26" width="7.28515625" customWidth="1"/>
    <col min="27" max="27" width="12.85546875" customWidth="1"/>
    <col min="31" max="31" width="11" customWidth="1"/>
  </cols>
  <sheetData>
    <row r="1" spans="1:27" ht="72" customHeight="1" thickBot="1" x14ac:dyDescent="0.3">
      <c r="A1" s="1" t="s">
        <v>0</v>
      </c>
      <c r="B1" s="2" t="s">
        <v>374</v>
      </c>
      <c r="C1" s="3" t="s">
        <v>1</v>
      </c>
      <c r="D1" s="4" t="s">
        <v>2</v>
      </c>
      <c r="E1" s="3" t="s">
        <v>3</v>
      </c>
      <c r="F1" s="3" t="s">
        <v>4</v>
      </c>
      <c r="G1" s="3" t="s">
        <v>5</v>
      </c>
      <c r="H1" s="2" t="s">
        <v>6</v>
      </c>
      <c r="I1" s="3" t="s">
        <v>7</v>
      </c>
      <c r="J1" s="3" t="s">
        <v>8</v>
      </c>
      <c r="K1" s="5" t="s">
        <v>9</v>
      </c>
      <c r="L1" s="3" t="s">
        <v>380</v>
      </c>
      <c r="M1" s="3" t="s">
        <v>10</v>
      </c>
      <c r="N1" s="2" t="s">
        <v>11</v>
      </c>
      <c r="O1" s="3" t="s">
        <v>12</v>
      </c>
      <c r="P1" s="5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332</v>
      </c>
      <c r="W1" s="5" t="s">
        <v>382</v>
      </c>
      <c r="X1" s="3" t="s">
        <v>381</v>
      </c>
      <c r="Y1" s="3" t="s">
        <v>375</v>
      </c>
      <c r="Z1" s="198" t="s">
        <v>376</v>
      </c>
    </row>
    <row r="2" spans="1:27" ht="13.5" customHeight="1" thickBot="1" x14ac:dyDescent="0.3">
      <c r="A2" s="6" t="s">
        <v>19</v>
      </c>
      <c r="B2" s="7" t="s">
        <v>20</v>
      </c>
      <c r="C2" s="8" t="s">
        <v>21</v>
      </c>
      <c r="D2" s="9" t="s">
        <v>22</v>
      </c>
      <c r="E2" s="8" t="s">
        <v>22</v>
      </c>
      <c r="F2" s="8" t="s">
        <v>23</v>
      </c>
      <c r="G2" s="10" t="s">
        <v>24</v>
      </c>
      <c r="H2" s="10" t="s">
        <v>22</v>
      </c>
      <c r="I2" s="8" t="s">
        <v>23</v>
      </c>
      <c r="J2" s="8" t="s">
        <v>24</v>
      </c>
      <c r="K2" s="11" t="s">
        <v>22</v>
      </c>
      <c r="L2" s="8" t="s">
        <v>21</v>
      </c>
      <c r="M2" s="8" t="s">
        <v>24</v>
      </c>
      <c r="N2" s="10" t="s">
        <v>25</v>
      </c>
      <c r="O2" s="8" t="s">
        <v>22</v>
      </c>
      <c r="P2" s="11" t="s">
        <v>22</v>
      </c>
      <c r="Q2" s="8" t="s">
        <v>23</v>
      </c>
      <c r="R2" s="8"/>
      <c r="S2" s="8" t="s">
        <v>22</v>
      </c>
      <c r="T2" s="8" t="s">
        <v>23</v>
      </c>
      <c r="U2" s="8" t="s">
        <v>26</v>
      </c>
      <c r="V2" s="8" t="s">
        <v>27</v>
      </c>
      <c r="W2" s="11" t="s">
        <v>348</v>
      </c>
      <c r="X2" s="8" t="s">
        <v>23</v>
      </c>
      <c r="Y2" s="8" t="s">
        <v>24</v>
      </c>
      <c r="Z2" s="199" t="s">
        <v>25</v>
      </c>
    </row>
    <row r="3" spans="1:27" ht="9.75" customHeight="1" thickBot="1" x14ac:dyDescent="0.3">
      <c r="A3" s="12"/>
      <c r="B3" s="13"/>
      <c r="C3" s="14"/>
      <c r="D3" s="15"/>
      <c r="E3" s="14"/>
      <c r="F3" s="14"/>
      <c r="G3" s="14"/>
      <c r="H3" s="16"/>
      <c r="I3" s="14"/>
      <c r="J3" s="14"/>
      <c r="K3" s="200"/>
      <c r="L3" s="14"/>
      <c r="M3" s="14"/>
      <c r="N3" s="16"/>
      <c r="O3" s="14"/>
      <c r="P3" s="200"/>
      <c r="Q3" s="14"/>
      <c r="R3" s="17"/>
      <c r="S3" s="14"/>
      <c r="T3" s="14"/>
      <c r="U3" s="14"/>
      <c r="V3" s="14"/>
      <c r="W3" s="200"/>
      <c r="X3" s="14"/>
      <c r="Y3" s="14"/>
      <c r="Z3" s="201"/>
    </row>
    <row r="4" spans="1:27" ht="13.5" customHeight="1" thickBot="1" x14ac:dyDescent="0.3">
      <c r="A4" s="18" t="s">
        <v>28</v>
      </c>
      <c r="B4" s="19"/>
      <c r="C4" s="20"/>
      <c r="D4" s="21"/>
      <c r="E4" s="20"/>
      <c r="F4" s="20"/>
      <c r="G4" s="20"/>
      <c r="H4" s="22"/>
      <c r="I4" s="20"/>
      <c r="J4" s="20"/>
      <c r="K4" s="23"/>
      <c r="L4" s="20"/>
      <c r="M4" s="20"/>
      <c r="N4" s="22"/>
      <c r="O4" s="20"/>
      <c r="P4" s="23"/>
      <c r="Q4" s="20"/>
      <c r="R4" s="22"/>
      <c r="S4" s="20"/>
      <c r="T4" s="20"/>
      <c r="U4" s="20"/>
      <c r="V4" s="20"/>
      <c r="W4" s="23"/>
      <c r="X4" s="20"/>
      <c r="Y4" s="20"/>
      <c r="Z4" s="202"/>
    </row>
    <row r="5" spans="1:27" ht="15" customHeight="1" x14ac:dyDescent="0.25">
      <c r="A5" s="24" t="s">
        <v>29</v>
      </c>
      <c r="B5" s="25"/>
      <c r="C5" s="26">
        <v>926510</v>
      </c>
      <c r="D5" s="27">
        <v>0</v>
      </c>
      <c r="E5" s="26">
        <f>SUM(C5:D5)</f>
        <v>926510</v>
      </c>
      <c r="F5" s="26">
        <f>-668+1428</f>
        <v>760</v>
      </c>
      <c r="G5" s="26">
        <v>0</v>
      </c>
      <c r="H5" s="28">
        <f>SUM(E5:G5)</f>
        <v>927270</v>
      </c>
      <c r="I5" s="26">
        <v>0</v>
      </c>
      <c r="J5" s="26">
        <v>0</v>
      </c>
      <c r="K5" s="29">
        <f>SUM(H5:J5)</f>
        <v>927270</v>
      </c>
      <c r="L5" s="26">
        <v>1124260</v>
      </c>
      <c r="M5" s="26">
        <f>L5-K5</f>
        <v>196990</v>
      </c>
      <c r="N5" s="28">
        <f>L5/K5</f>
        <v>1.2124408209043751</v>
      </c>
      <c r="O5" s="30">
        <v>0</v>
      </c>
      <c r="P5" s="31">
        <f>L5+O5</f>
        <v>1124260</v>
      </c>
      <c r="Q5" s="30">
        <v>442.61</v>
      </c>
      <c r="R5" s="31">
        <v>0</v>
      </c>
      <c r="S5" s="30">
        <f>SUM(P5:R5)</f>
        <v>1124702.6100000001</v>
      </c>
      <c r="T5" s="30">
        <v>0</v>
      </c>
      <c r="U5" s="26">
        <v>0</v>
      </c>
      <c r="V5" s="26">
        <v>0</v>
      </c>
      <c r="W5" s="29">
        <f>SUM(S5:V5)</f>
        <v>1124702.6100000001</v>
      </c>
      <c r="X5" s="26">
        <v>1236720</v>
      </c>
      <c r="Y5" s="26">
        <f>X5-W5</f>
        <v>112017.3899999999</v>
      </c>
      <c r="Z5" s="203">
        <f>X5/W5</f>
        <v>1.0995973415585831</v>
      </c>
    </row>
    <row r="6" spans="1:27" ht="15" customHeight="1" x14ac:dyDescent="0.25">
      <c r="A6" s="32" t="s">
        <v>30</v>
      </c>
      <c r="B6" s="33"/>
      <c r="C6" s="34">
        <v>177191.8</v>
      </c>
      <c r="D6" s="27">
        <f>17.84+84.99+59.2</f>
        <v>162.03</v>
      </c>
      <c r="E6" s="26">
        <f>SUM(C6:D6)+94.17</f>
        <v>177448</v>
      </c>
      <c r="F6" s="26">
        <v>1764.01</v>
      </c>
      <c r="G6" s="26">
        <f>-194.61+24.61+5.13</f>
        <v>-164.87</v>
      </c>
      <c r="H6" s="28">
        <f>SUM(E6:G6)+14.56</f>
        <v>179061.7</v>
      </c>
      <c r="I6" s="26">
        <v>9713.93</v>
      </c>
      <c r="J6" s="26">
        <f>56.36+3.82+14.32</f>
        <v>74.5</v>
      </c>
      <c r="K6" s="29">
        <f>SUM(H6:J6)</f>
        <v>188850.13</v>
      </c>
      <c r="L6" s="34">
        <v>192593</v>
      </c>
      <c r="M6" s="26">
        <f t="shared" ref="M6:M8" si="0">L6-K6</f>
        <v>3742.8699999999953</v>
      </c>
      <c r="N6" s="28">
        <f t="shared" ref="N6:N8" si="1">L6/K6</f>
        <v>1.0198192609134025</v>
      </c>
      <c r="O6" s="34">
        <f>160+94.59+934.91+39.89+902.1</f>
        <v>2131.4900000000002</v>
      </c>
      <c r="P6" s="35">
        <f>L6+O6+2.84</f>
        <v>194727.33</v>
      </c>
      <c r="Q6" s="34">
        <v>2009</v>
      </c>
      <c r="R6" s="35">
        <f>1153.78+1004.92+892.5</f>
        <v>3051.2</v>
      </c>
      <c r="S6" s="34">
        <f>SUM(P6:R6)+8.2</f>
        <v>199795.73</v>
      </c>
      <c r="T6" s="34">
        <v>22138.02</v>
      </c>
      <c r="U6" s="34">
        <v>0</v>
      </c>
      <c r="V6" s="26">
        <f>918.95+891.05+618.38</f>
        <v>2428.38</v>
      </c>
      <c r="W6" s="29">
        <f t="shared" ref="W6:W21" si="2">SUM(S6:V6)</f>
        <v>224362.13</v>
      </c>
      <c r="X6" s="34">
        <v>183315</v>
      </c>
      <c r="Y6" s="26">
        <f t="shared" ref="Y6:Y8" si="3">X6-W6</f>
        <v>-41047.130000000005</v>
      </c>
      <c r="Z6" s="203">
        <f t="shared" ref="Z6:Z8" si="4">X6/W6</f>
        <v>0.81704965093708104</v>
      </c>
    </row>
    <row r="7" spans="1:27" ht="15" customHeight="1" x14ac:dyDescent="0.25">
      <c r="A7" s="32" t="s">
        <v>31</v>
      </c>
      <c r="B7" s="33"/>
      <c r="C7" s="34">
        <v>1000</v>
      </c>
      <c r="D7" s="27">
        <v>0</v>
      </c>
      <c r="E7" s="26">
        <f t="shared" ref="E7" si="5">SUM(C7:D7)</f>
        <v>1000</v>
      </c>
      <c r="F7" s="26">
        <v>0</v>
      </c>
      <c r="G7" s="26">
        <v>0</v>
      </c>
      <c r="H7" s="28">
        <f>SUM(E7:G7)</f>
        <v>1000</v>
      </c>
      <c r="I7" s="26">
        <v>49452.37</v>
      </c>
      <c r="J7" s="26">
        <v>0</v>
      </c>
      <c r="K7" s="29">
        <f t="shared" ref="K7:K78" si="6">SUM(H7:J7)</f>
        <v>50452.37</v>
      </c>
      <c r="L7" s="34">
        <v>1000</v>
      </c>
      <c r="M7" s="26">
        <f t="shared" si="0"/>
        <v>-49452.37</v>
      </c>
      <c r="N7" s="28">
        <f t="shared" si="1"/>
        <v>1.9820674430160563E-2</v>
      </c>
      <c r="O7" s="34">
        <v>0</v>
      </c>
      <c r="P7" s="35">
        <f t="shared" ref="P7" si="7">L7+O7</f>
        <v>1000</v>
      </c>
      <c r="Q7" s="34">
        <v>0</v>
      </c>
      <c r="R7" s="35">
        <v>0</v>
      </c>
      <c r="S7" s="34">
        <f t="shared" ref="S7" si="8">SUM(P7:R7)</f>
        <v>1000</v>
      </c>
      <c r="T7" s="34">
        <v>0</v>
      </c>
      <c r="U7" s="34">
        <v>0</v>
      </c>
      <c r="V7" s="26">
        <v>0</v>
      </c>
      <c r="W7" s="29">
        <f t="shared" si="2"/>
        <v>1000</v>
      </c>
      <c r="X7" s="34">
        <v>1500</v>
      </c>
      <c r="Y7" s="26">
        <f t="shared" si="3"/>
        <v>500</v>
      </c>
      <c r="Z7" s="203">
        <f t="shared" si="4"/>
        <v>1.5</v>
      </c>
    </row>
    <row r="8" spans="1:27" ht="15" customHeight="1" thickBot="1" x14ac:dyDescent="0.3">
      <c r="A8" s="36" t="s">
        <v>32</v>
      </c>
      <c r="B8" s="37"/>
      <c r="C8" s="38">
        <v>146393.82999999999</v>
      </c>
      <c r="D8" s="39">
        <f>6518+1512</f>
        <v>8030</v>
      </c>
      <c r="E8" s="40">
        <f>SUM(C8:D8)+223.57</f>
        <v>154647.4</v>
      </c>
      <c r="F8" s="40">
        <v>0</v>
      </c>
      <c r="G8" s="40">
        <f>1678+100-45+64906.72+1253.45</f>
        <v>67893.17</v>
      </c>
      <c r="H8" s="41">
        <f>SUM(E8:G8)+5029.24</f>
        <v>227569.81</v>
      </c>
      <c r="I8" s="40">
        <v>6170.41</v>
      </c>
      <c r="J8" s="40">
        <f>1360+82.14+4093.05+654.04+1913.45+3344.57-2131.2</f>
        <v>9316.0499999999993</v>
      </c>
      <c r="K8" s="194">
        <f t="shared" si="6"/>
        <v>243056.27</v>
      </c>
      <c r="L8" s="38">
        <v>190556.95</v>
      </c>
      <c r="M8" s="40">
        <f t="shared" si="0"/>
        <v>-52499.319999999978</v>
      </c>
      <c r="N8" s="41">
        <f t="shared" si="1"/>
        <v>0.78400343262076733</v>
      </c>
      <c r="O8" s="38">
        <f>2215.2+4452.24+232.94</f>
        <v>6900.3799999999992</v>
      </c>
      <c r="P8" s="42">
        <f>L8+O8</f>
        <v>197457.33000000002</v>
      </c>
      <c r="Q8" s="38">
        <v>4864</v>
      </c>
      <c r="R8" s="42">
        <f>6119.39+48720.33+4252.94</f>
        <v>59092.66</v>
      </c>
      <c r="S8" s="40">
        <f>SUM(P8:R8)+20170.75</f>
        <v>281584.74</v>
      </c>
      <c r="T8" s="40">
        <v>0</v>
      </c>
      <c r="U8" s="40">
        <v>0</v>
      </c>
      <c r="V8" s="40">
        <f>5137.44+1126.86+4356.31</f>
        <v>10620.61</v>
      </c>
      <c r="W8" s="194">
        <f>SUM(S8:V8)</f>
        <v>292205.34999999998</v>
      </c>
      <c r="X8" s="38">
        <v>153641.62</v>
      </c>
      <c r="Y8" s="26">
        <f t="shared" si="3"/>
        <v>-138563.72999999998</v>
      </c>
      <c r="Z8" s="203">
        <f t="shared" si="4"/>
        <v>0.5258001607431213</v>
      </c>
    </row>
    <row r="9" spans="1:27" ht="16.5" customHeight="1" thickBot="1" x14ac:dyDescent="0.3">
      <c r="A9" s="43" t="s">
        <v>33</v>
      </c>
      <c r="B9" s="44"/>
      <c r="C9" s="45">
        <f t="shared" ref="C9:H9" si="9">SUM(C5:C8)</f>
        <v>1251095.6300000001</v>
      </c>
      <c r="D9" s="46">
        <f t="shared" si="9"/>
        <v>8192.0300000000007</v>
      </c>
      <c r="E9" s="45">
        <f t="shared" si="9"/>
        <v>1259605.3999999999</v>
      </c>
      <c r="F9" s="45">
        <f t="shared" si="9"/>
        <v>2524.0100000000002</v>
      </c>
      <c r="G9" s="45">
        <f t="shared" si="9"/>
        <v>67728.3</v>
      </c>
      <c r="H9" s="47">
        <f t="shared" si="9"/>
        <v>1334901.51</v>
      </c>
      <c r="I9" s="45">
        <f>SUM(I5:I8)</f>
        <v>65336.710000000006</v>
      </c>
      <c r="J9" s="45">
        <f>SUM(J5:J8)</f>
        <v>9390.5499999999993</v>
      </c>
      <c r="K9" s="48">
        <f t="shared" si="6"/>
        <v>1409628.77</v>
      </c>
      <c r="L9" s="45">
        <f t="shared" ref="L9" si="10">SUM(L5:L8)</f>
        <v>1508409.95</v>
      </c>
      <c r="M9" s="45">
        <f>SUM(M5:M8)</f>
        <v>98781.180000000022</v>
      </c>
      <c r="N9" s="47">
        <f>M9/L9</f>
        <v>6.5486958634819417E-2</v>
      </c>
      <c r="O9" s="45">
        <f t="shared" ref="O9:S9" si="11">SUM(O5:O8)</f>
        <v>9031.869999999999</v>
      </c>
      <c r="P9" s="48">
        <f t="shared" si="11"/>
        <v>1517444.6600000001</v>
      </c>
      <c r="Q9" s="45">
        <f t="shared" si="11"/>
        <v>7315.6100000000006</v>
      </c>
      <c r="R9" s="47">
        <f t="shared" si="11"/>
        <v>62143.86</v>
      </c>
      <c r="S9" s="45">
        <f t="shared" si="11"/>
        <v>1607083.08</v>
      </c>
      <c r="T9" s="45">
        <f>SUM(T5:T8)</f>
        <v>22138.02</v>
      </c>
      <c r="U9" s="45">
        <f>SUM(U5:U8)</f>
        <v>0</v>
      </c>
      <c r="V9" s="45">
        <f>SUM(V5:V8)</f>
        <v>13048.990000000002</v>
      </c>
      <c r="W9" s="48">
        <f t="shared" si="2"/>
        <v>1642270.09</v>
      </c>
      <c r="X9" s="45">
        <f t="shared" ref="X9" si="12">SUM(X5:X8)</f>
        <v>1575176.62</v>
      </c>
      <c r="Y9" s="45">
        <f>X9-W9</f>
        <v>-67093.469999999972</v>
      </c>
      <c r="Z9" s="204">
        <f>X9/W9</f>
        <v>0.9591458978589813</v>
      </c>
      <c r="AA9" s="191"/>
    </row>
    <row r="10" spans="1:27" ht="10.5" customHeight="1" thickBot="1" x14ac:dyDescent="0.3">
      <c r="A10" s="49"/>
      <c r="B10" s="50"/>
      <c r="C10" s="40"/>
      <c r="D10" s="39"/>
      <c r="E10" s="40"/>
      <c r="F10" s="40"/>
      <c r="G10" s="40"/>
      <c r="H10" s="41"/>
      <c r="I10" s="40"/>
      <c r="J10" s="40"/>
      <c r="K10" s="194"/>
      <c r="L10" s="40"/>
      <c r="M10" s="40"/>
      <c r="N10" s="41"/>
      <c r="O10" s="40"/>
      <c r="P10" s="194"/>
      <c r="Q10" s="40"/>
      <c r="R10" s="41"/>
      <c r="S10" s="40"/>
      <c r="T10" s="40"/>
      <c r="U10" s="40"/>
      <c r="V10" s="40"/>
      <c r="W10" s="194"/>
      <c r="X10" s="40"/>
      <c r="Y10" s="40"/>
      <c r="Z10" s="205"/>
    </row>
    <row r="11" spans="1:27" ht="15" customHeight="1" thickBot="1" x14ac:dyDescent="0.3">
      <c r="A11" s="51" t="s">
        <v>34</v>
      </c>
      <c r="B11" s="52"/>
      <c r="C11" s="53"/>
      <c r="D11" s="54"/>
      <c r="E11" s="53"/>
      <c r="F11" s="53"/>
      <c r="G11" s="53"/>
      <c r="H11" s="55"/>
      <c r="I11" s="53"/>
      <c r="J11" s="53"/>
      <c r="K11" s="56"/>
      <c r="L11" s="53"/>
      <c r="M11" s="53"/>
      <c r="N11" s="55"/>
      <c r="O11" s="53"/>
      <c r="P11" s="56"/>
      <c r="Q11" s="53"/>
      <c r="R11" s="55"/>
      <c r="S11" s="53"/>
      <c r="T11" s="53"/>
      <c r="U11" s="53"/>
      <c r="V11" s="53"/>
      <c r="W11" s="56"/>
      <c r="X11" s="53"/>
      <c r="Y11" s="53"/>
      <c r="Z11" s="206"/>
    </row>
    <row r="12" spans="1:27" x14ac:dyDescent="0.25">
      <c r="A12" s="24" t="s">
        <v>35</v>
      </c>
      <c r="B12" s="25"/>
      <c r="C12" s="26">
        <v>173947.22</v>
      </c>
      <c r="D12" s="27">
        <f>160+1116.95</f>
        <v>1276.95</v>
      </c>
      <c r="E12" s="26">
        <f>SUM(C12:D12)</f>
        <v>175224.17</v>
      </c>
      <c r="F12" s="26">
        <v>102517.99</v>
      </c>
      <c r="G12" s="26">
        <v>0</v>
      </c>
      <c r="H12" s="28">
        <f>SUM(E12:G12)</f>
        <v>277742.16000000003</v>
      </c>
      <c r="I12" s="26">
        <v>0</v>
      </c>
      <c r="J12" s="26">
        <v>0</v>
      </c>
      <c r="K12" s="29">
        <f>SUM(H12:J12)</f>
        <v>277742.16000000003</v>
      </c>
      <c r="L12" s="26">
        <v>215414.15</v>
      </c>
      <c r="M12" s="26">
        <f>L12-K12</f>
        <v>-62328.010000000038</v>
      </c>
      <c r="N12" s="28">
        <f>L12/K12</f>
        <v>0.7755903893020778</v>
      </c>
      <c r="O12" s="26">
        <f>2192.64</f>
        <v>2192.64</v>
      </c>
      <c r="P12" s="28">
        <f>L12+O12</f>
        <v>217606.79</v>
      </c>
      <c r="Q12" s="26">
        <v>98774.66</v>
      </c>
      <c r="R12" s="28">
        <v>0</v>
      </c>
      <c r="S12" s="26">
        <f>SUM(P12:R12)</f>
        <v>316381.45</v>
      </c>
      <c r="T12" s="26">
        <v>0</v>
      </c>
      <c r="U12" s="26">
        <v>0</v>
      </c>
      <c r="V12" s="26">
        <v>0</v>
      </c>
      <c r="W12" s="29">
        <f t="shared" si="2"/>
        <v>316381.45</v>
      </c>
      <c r="X12" s="125">
        <v>408497.84</v>
      </c>
      <c r="Y12" s="26">
        <f>X12-W12</f>
        <v>92116.390000000014</v>
      </c>
      <c r="Z12" s="203">
        <f>X12/W12</f>
        <v>1.2911561028625413</v>
      </c>
    </row>
    <row r="13" spans="1:27" x14ac:dyDescent="0.25">
      <c r="A13" s="32" t="s">
        <v>36</v>
      </c>
      <c r="B13" s="25"/>
      <c r="C13" s="34">
        <v>96184</v>
      </c>
      <c r="D13" s="27">
        <v>0</v>
      </c>
      <c r="E13" s="26">
        <f t="shared" ref="E13:E19" si="13">SUM(C13:D13)</f>
        <v>96184</v>
      </c>
      <c r="F13" s="26">
        <v>111459.92</v>
      </c>
      <c r="G13" s="26">
        <v>0</v>
      </c>
      <c r="H13" s="28">
        <f t="shared" ref="H13:H19" si="14">SUM(E13:G13)</f>
        <v>207643.91999999998</v>
      </c>
      <c r="I13" s="26">
        <v>0</v>
      </c>
      <c r="J13" s="26">
        <v>0</v>
      </c>
      <c r="K13" s="29">
        <f t="shared" si="6"/>
        <v>207643.91999999998</v>
      </c>
      <c r="L13" s="34">
        <v>172300</v>
      </c>
      <c r="M13" s="26">
        <f t="shared" ref="M13:M19" si="15">L13-K13</f>
        <v>-35343.919999999984</v>
      </c>
      <c r="N13" s="28">
        <f t="shared" ref="N13:N19" si="16">L13/K13</f>
        <v>0.82978591427093085</v>
      </c>
      <c r="O13" s="34">
        <v>0</v>
      </c>
      <c r="P13" s="28">
        <f t="shared" ref="P13:P19" si="17">L13+O13</f>
        <v>172300</v>
      </c>
      <c r="Q13" s="34">
        <v>99224.09</v>
      </c>
      <c r="R13" s="28">
        <v>0</v>
      </c>
      <c r="S13" s="26">
        <f t="shared" ref="S13:S16" si="18">SUM(P13:R13)</f>
        <v>271524.08999999997</v>
      </c>
      <c r="T13" s="26">
        <v>0</v>
      </c>
      <c r="U13" s="26">
        <v>0</v>
      </c>
      <c r="V13" s="26">
        <v>0</v>
      </c>
      <c r="W13" s="29">
        <f t="shared" si="2"/>
        <v>271524.08999999997</v>
      </c>
      <c r="X13" s="119">
        <v>139450.20000000001</v>
      </c>
      <c r="Y13" s="26">
        <f t="shared" ref="Y13:Y19" si="19">X13-W13</f>
        <v>-132073.88999999996</v>
      </c>
      <c r="Z13" s="203">
        <f t="shared" ref="Z13:Z18" si="20">X13/W13</f>
        <v>0.51358315941690491</v>
      </c>
    </row>
    <row r="14" spans="1:27" ht="15" customHeight="1" x14ac:dyDescent="0.25">
      <c r="A14" s="32" t="s">
        <v>37</v>
      </c>
      <c r="B14" s="33"/>
      <c r="C14" s="34">
        <v>11066</v>
      </c>
      <c r="D14" s="27">
        <v>0</v>
      </c>
      <c r="E14" s="26">
        <f t="shared" si="13"/>
        <v>11066</v>
      </c>
      <c r="F14" s="26">
        <v>0</v>
      </c>
      <c r="G14" s="26">
        <v>0</v>
      </c>
      <c r="H14" s="28">
        <f t="shared" si="14"/>
        <v>11066</v>
      </c>
      <c r="I14" s="26">
        <v>0</v>
      </c>
      <c r="J14" s="26">
        <v>0</v>
      </c>
      <c r="K14" s="29">
        <f t="shared" si="6"/>
        <v>11066</v>
      </c>
      <c r="L14" s="34">
        <v>12926</v>
      </c>
      <c r="M14" s="26">
        <f t="shared" si="15"/>
        <v>1860</v>
      </c>
      <c r="N14" s="28">
        <f t="shared" si="16"/>
        <v>1.1680824146032893</v>
      </c>
      <c r="O14" s="34">
        <v>0</v>
      </c>
      <c r="P14" s="28">
        <f t="shared" si="17"/>
        <v>12926</v>
      </c>
      <c r="Q14" s="34">
        <v>0</v>
      </c>
      <c r="R14" s="28">
        <v>0</v>
      </c>
      <c r="S14" s="26">
        <f t="shared" si="18"/>
        <v>12926</v>
      </c>
      <c r="T14" s="26">
        <v>100</v>
      </c>
      <c r="U14" s="26">
        <v>0</v>
      </c>
      <c r="V14" s="26">
        <v>0</v>
      </c>
      <c r="W14" s="29">
        <f t="shared" si="2"/>
        <v>13026</v>
      </c>
      <c r="X14" s="34">
        <v>12655</v>
      </c>
      <c r="Y14" s="26">
        <f t="shared" si="19"/>
        <v>-371</v>
      </c>
      <c r="Z14" s="203">
        <f t="shared" si="20"/>
        <v>0.97151850145862118</v>
      </c>
    </row>
    <row r="15" spans="1:27" ht="26.25" customHeight="1" x14ac:dyDescent="0.25">
      <c r="A15" s="32" t="s">
        <v>38</v>
      </c>
      <c r="B15" s="33"/>
      <c r="C15" s="57">
        <v>0</v>
      </c>
      <c r="D15" s="58">
        <v>0</v>
      </c>
      <c r="E15" s="59">
        <f t="shared" si="13"/>
        <v>0</v>
      </c>
      <c r="F15" s="59">
        <v>0</v>
      </c>
      <c r="G15" s="59">
        <v>0</v>
      </c>
      <c r="H15" s="28">
        <f t="shared" si="14"/>
        <v>0</v>
      </c>
      <c r="I15" s="26">
        <v>0</v>
      </c>
      <c r="J15" s="26">
        <v>0</v>
      </c>
      <c r="K15" s="29">
        <f t="shared" si="6"/>
        <v>0</v>
      </c>
      <c r="L15" s="57">
        <v>2450</v>
      </c>
      <c r="M15" s="26">
        <f t="shared" si="15"/>
        <v>2450</v>
      </c>
      <c r="N15" s="60" t="s">
        <v>39</v>
      </c>
      <c r="O15" s="57">
        <v>0</v>
      </c>
      <c r="P15" s="28">
        <f t="shared" si="17"/>
        <v>2450</v>
      </c>
      <c r="Q15" s="57">
        <v>0</v>
      </c>
      <c r="R15" s="60">
        <v>0</v>
      </c>
      <c r="S15" s="26">
        <f t="shared" si="18"/>
        <v>2450</v>
      </c>
      <c r="T15" s="26">
        <v>0</v>
      </c>
      <c r="U15" s="26">
        <v>0</v>
      </c>
      <c r="V15" s="26">
        <v>0</v>
      </c>
      <c r="W15" s="29">
        <f t="shared" si="2"/>
        <v>2450</v>
      </c>
      <c r="X15" s="57">
        <v>2450</v>
      </c>
      <c r="Y15" s="26">
        <f t="shared" si="19"/>
        <v>0</v>
      </c>
      <c r="Z15" s="203">
        <f t="shared" si="20"/>
        <v>1</v>
      </c>
    </row>
    <row r="16" spans="1:27" ht="26.25" customHeight="1" x14ac:dyDescent="0.25">
      <c r="A16" s="32" t="s">
        <v>40</v>
      </c>
      <c r="B16" s="33"/>
      <c r="C16" s="57">
        <v>0</v>
      </c>
      <c r="D16" s="58">
        <v>0</v>
      </c>
      <c r="E16" s="59">
        <f t="shared" si="13"/>
        <v>0</v>
      </c>
      <c r="F16" s="59">
        <v>0</v>
      </c>
      <c r="G16" s="59">
        <v>0</v>
      </c>
      <c r="H16" s="28">
        <f t="shared" si="14"/>
        <v>0</v>
      </c>
      <c r="I16" s="26">
        <v>0</v>
      </c>
      <c r="J16" s="26">
        <v>0</v>
      </c>
      <c r="K16" s="29">
        <f t="shared" si="6"/>
        <v>0</v>
      </c>
      <c r="L16" s="57">
        <v>0</v>
      </c>
      <c r="M16" s="26">
        <f t="shared" si="15"/>
        <v>0</v>
      </c>
      <c r="N16" s="60" t="s">
        <v>39</v>
      </c>
      <c r="O16" s="57">
        <v>0</v>
      </c>
      <c r="P16" s="28">
        <f t="shared" si="17"/>
        <v>0</v>
      </c>
      <c r="Q16" s="57">
        <v>0</v>
      </c>
      <c r="R16" s="60">
        <v>0</v>
      </c>
      <c r="S16" s="26">
        <f t="shared" si="18"/>
        <v>0</v>
      </c>
      <c r="T16" s="26">
        <v>0</v>
      </c>
      <c r="U16" s="26">
        <v>0</v>
      </c>
      <c r="V16" s="26">
        <v>0</v>
      </c>
      <c r="W16" s="29">
        <f t="shared" si="2"/>
        <v>0</v>
      </c>
      <c r="X16" s="57">
        <v>0</v>
      </c>
      <c r="Y16" s="26">
        <f t="shared" si="19"/>
        <v>0</v>
      </c>
      <c r="Z16" s="207" t="s">
        <v>263</v>
      </c>
    </row>
    <row r="17" spans="1:27" ht="17.25" customHeight="1" x14ac:dyDescent="0.25">
      <c r="A17" s="32" t="s">
        <v>349</v>
      </c>
      <c r="B17" s="37"/>
      <c r="C17" s="62"/>
      <c r="D17" s="63"/>
      <c r="E17" s="64"/>
      <c r="F17" s="64"/>
      <c r="G17" s="64"/>
      <c r="H17" s="41"/>
      <c r="I17" s="40"/>
      <c r="J17" s="40"/>
      <c r="K17" s="29"/>
      <c r="L17" s="62">
        <v>0</v>
      </c>
      <c r="M17" s="26"/>
      <c r="N17" s="60"/>
      <c r="O17" s="57"/>
      <c r="P17" s="28"/>
      <c r="Q17" s="57"/>
      <c r="R17" s="60"/>
      <c r="S17" s="26"/>
      <c r="T17" s="26"/>
      <c r="U17" s="26"/>
      <c r="V17" s="26"/>
      <c r="W17" s="29">
        <v>0</v>
      </c>
      <c r="X17" s="62">
        <v>3000</v>
      </c>
      <c r="Y17" s="26">
        <f t="shared" si="19"/>
        <v>3000</v>
      </c>
      <c r="Z17" s="207" t="s">
        <v>263</v>
      </c>
    </row>
    <row r="18" spans="1:27" ht="14.25" customHeight="1" x14ac:dyDescent="0.25">
      <c r="A18" s="61" t="s">
        <v>41</v>
      </c>
      <c r="B18" s="37"/>
      <c r="C18" s="62">
        <v>0</v>
      </c>
      <c r="D18" s="63"/>
      <c r="E18" s="64"/>
      <c r="F18" s="64"/>
      <c r="G18" s="64"/>
      <c r="H18" s="41"/>
      <c r="I18" s="40"/>
      <c r="J18" s="40"/>
      <c r="K18" s="34">
        <v>0</v>
      </c>
      <c r="L18" s="62">
        <v>15488</v>
      </c>
      <c r="M18" s="26">
        <f t="shared" si="15"/>
        <v>15488</v>
      </c>
      <c r="N18" s="60" t="s">
        <v>39</v>
      </c>
      <c r="O18" s="57">
        <v>0</v>
      </c>
      <c r="P18" s="28">
        <f t="shared" si="17"/>
        <v>15488</v>
      </c>
      <c r="Q18" s="57">
        <v>0</v>
      </c>
      <c r="R18" s="60">
        <v>0</v>
      </c>
      <c r="S18" s="26">
        <f>SUM(P18:R18)</f>
        <v>15488</v>
      </c>
      <c r="T18" s="26">
        <v>0</v>
      </c>
      <c r="U18" s="26">
        <v>0</v>
      </c>
      <c r="V18" s="26">
        <v>0</v>
      </c>
      <c r="W18" s="29">
        <f t="shared" si="2"/>
        <v>15488</v>
      </c>
      <c r="X18" s="62">
        <v>0</v>
      </c>
      <c r="Y18" s="26">
        <f t="shared" si="19"/>
        <v>-15488</v>
      </c>
      <c r="Z18" s="207">
        <f t="shared" si="20"/>
        <v>0</v>
      </c>
    </row>
    <row r="19" spans="1:27" ht="15" customHeight="1" thickBot="1" x14ac:dyDescent="0.3">
      <c r="A19" s="36" t="s">
        <v>42</v>
      </c>
      <c r="B19" s="37"/>
      <c r="C19" s="38">
        <v>142212</v>
      </c>
      <c r="D19" s="39">
        <v>0</v>
      </c>
      <c r="E19" s="40">
        <f t="shared" si="13"/>
        <v>142212</v>
      </c>
      <c r="F19" s="40">
        <v>0</v>
      </c>
      <c r="G19" s="40">
        <v>0</v>
      </c>
      <c r="H19" s="41">
        <f t="shared" si="14"/>
        <v>142212</v>
      </c>
      <c r="I19" s="40">
        <v>-16953</v>
      </c>
      <c r="J19" s="40">
        <v>0</v>
      </c>
      <c r="K19" s="194">
        <f t="shared" si="6"/>
        <v>125259</v>
      </c>
      <c r="L19" s="38">
        <v>0</v>
      </c>
      <c r="M19" s="40">
        <f t="shared" si="15"/>
        <v>-125259</v>
      </c>
      <c r="N19" s="41">
        <f t="shared" si="16"/>
        <v>0</v>
      </c>
      <c r="O19" s="38">
        <v>0</v>
      </c>
      <c r="P19" s="41">
        <f t="shared" si="17"/>
        <v>0</v>
      </c>
      <c r="Q19" s="38">
        <v>0</v>
      </c>
      <c r="R19" s="41">
        <v>0</v>
      </c>
      <c r="S19" s="40">
        <f>SUM(P19:R19)</f>
        <v>0</v>
      </c>
      <c r="T19" s="40">
        <v>0</v>
      </c>
      <c r="U19" s="40">
        <v>0</v>
      </c>
      <c r="V19" s="40">
        <v>0</v>
      </c>
      <c r="W19" s="194">
        <f t="shared" si="2"/>
        <v>0</v>
      </c>
      <c r="X19" s="38">
        <v>0</v>
      </c>
      <c r="Y19" s="26">
        <f t="shared" si="19"/>
        <v>0</v>
      </c>
      <c r="Z19" s="207" t="s">
        <v>263</v>
      </c>
    </row>
    <row r="20" spans="1:27" ht="21.75" customHeight="1" thickBot="1" x14ac:dyDescent="0.3">
      <c r="A20" s="51" t="s">
        <v>43</v>
      </c>
      <c r="B20" s="65"/>
      <c r="C20" s="66">
        <f>SUM(C12:C19)</f>
        <v>423409.22</v>
      </c>
      <c r="D20" s="67">
        <f>SUM(D12:D19)</f>
        <v>1276.95</v>
      </c>
      <c r="E20" s="66">
        <f>SUM(C20:D20)</f>
        <v>424686.17</v>
      </c>
      <c r="F20" s="66">
        <f>SUM(F12:F19)</f>
        <v>213977.91</v>
      </c>
      <c r="G20" s="66">
        <f>SUM(G12:G19)</f>
        <v>0</v>
      </c>
      <c r="H20" s="68">
        <f>SUM(H12:H19)</f>
        <v>638664.08000000007</v>
      </c>
      <c r="I20" s="66">
        <f>SUM(I12:I19)</f>
        <v>-16953</v>
      </c>
      <c r="J20" s="66">
        <f>SUM(J12:J19)</f>
        <v>0</v>
      </c>
      <c r="K20" s="69">
        <f t="shared" si="6"/>
        <v>621711.08000000007</v>
      </c>
      <c r="L20" s="66">
        <f>SUM(L12:L19)</f>
        <v>418578.15</v>
      </c>
      <c r="M20" s="66">
        <f>SUM(M12:M19)</f>
        <v>-203132.93000000002</v>
      </c>
      <c r="N20" s="68">
        <f>L20/K20</f>
        <v>0.67326795912982595</v>
      </c>
      <c r="O20" s="66">
        <f t="shared" ref="O20:S20" si="21">SUM(O12:O19)</f>
        <v>2192.64</v>
      </c>
      <c r="P20" s="69">
        <f t="shared" si="21"/>
        <v>420770.79000000004</v>
      </c>
      <c r="Q20" s="66">
        <f t="shared" si="21"/>
        <v>197998.75</v>
      </c>
      <c r="R20" s="68">
        <f t="shared" si="21"/>
        <v>0</v>
      </c>
      <c r="S20" s="66">
        <f t="shared" si="21"/>
        <v>618769.54</v>
      </c>
      <c r="T20" s="66">
        <f>SUM(T12:T19)</f>
        <v>100</v>
      </c>
      <c r="U20" s="66">
        <f>SUM(U12:U19)</f>
        <v>0</v>
      </c>
      <c r="V20" s="66">
        <f>SUM(V12:V19)</f>
        <v>0</v>
      </c>
      <c r="W20" s="69">
        <f t="shared" si="2"/>
        <v>618869.54</v>
      </c>
      <c r="X20" s="66">
        <f>SUM(X12:X19)</f>
        <v>566053.04</v>
      </c>
      <c r="Y20" s="66">
        <f>X20-W20</f>
        <v>-52816.5</v>
      </c>
      <c r="Z20" s="208">
        <f>X20/W20</f>
        <v>0.91465648802169197</v>
      </c>
      <c r="AA20" s="191"/>
    </row>
    <row r="21" spans="1:27" ht="17.25" customHeight="1" thickBot="1" x14ac:dyDescent="0.3">
      <c r="A21" s="70" t="s">
        <v>44</v>
      </c>
      <c r="B21" s="71"/>
      <c r="C21" s="72">
        <f>SUM(C9+C20)</f>
        <v>1674504.85</v>
      </c>
      <c r="D21" s="73">
        <f>SUM(D9+D20)</f>
        <v>9468.9800000000014</v>
      </c>
      <c r="E21" s="72">
        <f>SUM(C21:D21)</f>
        <v>1683973.83</v>
      </c>
      <c r="F21" s="72">
        <f>F9+F20</f>
        <v>216501.92</v>
      </c>
      <c r="G21" s="72">
        <f>SUM(G9+G20)</f>
        <v>67728.3</v>
      </c>
      <c r="H21" s="74">
        <f>H9+H20</f>
        <v>1973565.59</v>
      </c>
      <c r="I21" s="72">
        <f>I9+I20</f>
        <v>48383.710000000006</v>
      </c>
      <c r="J21" s="72">
        <f>SUM(J9+J20)</f>
        <v>9390.5499999999993</v>
      </c>
      <c r="K21" s="75">
        <f t="shared" si="6"/>
        <v>2031339.85</v>
      </c>
      <c r="L21" s="72">
        <f>SUM(L9+L20)</f>
        <v>1926988.1</v>
      </c>
      <c r="M21" s="72">
        <f>SUM(M9+M20)</f>
        <v>-104351.75</v>
      </c>
      <c r="N21" s="74">
        <f>L21/K21</f>
        <v>0.94862910310158099</v>
      </c>
      <c r="O21" s="72">
        <f>SUM(O9+O20)</f>
        <v>11224.509999999998</v>
      </c>
      <c r="P21" s="75">
        <f>SUM(P9+P20)</f>
        <v>1938215.4500000002</v>
      </c>
      <c r="Q21" s="72">
        <f>SUM(Q9+Q20)</f>
        <v>205314.36</v>
      </c>
      <c r="R21" s="74">
        <f>SUM(R9+R20)</f>
        <v>62143.86</v>
      </c>
      <c r="S21" s="72">
        <f>SUM(S9+S20)</f>
        <v>2225852.62</v>
      </c>
      <c r="T21" s="72">
        <f>T9+T20</f>
        <v>22238.02</v>
      </c>
      <c r="U21" s="72">
        <f>SUM(U9+U20)</f>
        <v>0</v>
      </c>
      <c r="V21" s="72">
        <f>SUM(V9+V20)</f>
        <v>13048.990000000002</v>
      </c>
      <c r="W21" s="75">
        <f t="shared" si="2"/>
        <v>2261139.6300000004</v>
      </c>
      <c r="X21" s="72">
        <f t="shared" ref="X21" si="22">SUM(X9+X20)</f>
        <v>2141229.66</v>
      </c>
      <c r="Y21" s="72">
        <f>X21-W21</f>
        <v>-119909.9700000002</v>
      </c>
      <c r="Z21" s="209">
        <f>X21/W21</f>
        <v>0.94696923250157705</v>
      </c>
    </row>
    <row r="22" spans="1:27" ht="13.5" customHeight="1" thickBot="1" x14ac:dyDescent="0.3">
      <c r="A22" s="49"/>
      <c r="B22" s="50"/>
      <c r="C22" s="40"/>
      <c r="D22" s="39"/>
      <c r="E22" s="40"/>
      <c r="F22" s="40"/>
      <c r="G22" s="40"/>
      <c r="H22" s="41"/>
      <c r="I22" s="40"/>
      <c r="J22" s="40"/>
      <c r="K22" s="194"/>
      <c r="L22" s="40"/>
      <c r="M22" s="40"/>
      <c r="N22" s="41"/>
      <c r="O22" s="40"/>
      <c r="P22" s="194"/>
      <c r="Q22" s="40"/>
      <c r="R22" s="41"/>
      <c r="S22" s="40"/>
      <c r="T22" s="40"/>
      <c r="U22" s="40"/>
      <c r="V22" s="40"/>
      <c r="W22" s="194"/>
      <c r="X22" s="40"/>
      <c r="Y22" s="40"/>
      <c r="Z22" s="205"/>
    </row>
    <row r="23" spans="1:27" ht="14.25" customHeight="1" thickBot="1" x14ac:dyDescent="0.3">
      <c r="A23" s="76" t="s">
        <v>45</v>
      </c>
      <c r="B23" s="77"/>
      <c r="C23" s="78"/>
      <c r="D23" s="79"/>
      <c r="E23" s="78"/>
      <c r="F23" s="78"/>
      <c r="G23" s="78"/>
      <c r="H23" s="80"/>
      <c r="I23" s="78"/>
      <c r="J23" s="78"/>
      <c r="K23" s="81"/>
      <c r="L23" s="78"/>
      <c r="M23" s="78"/>
      <c r="N23" s="80"/>
      <c r="O23" s="78"/>
      <c r="P23" s="81"/>
      <c r="Q23" s="78"/>
      <c r="R23" s="80"/>
      <c r="S23" s="78"/>
      <c r="T23" s="78"/>
      <c r="U23" s="78"/>
      <c r="V23" s="78"/>
      <c r="W23" s="81"/>
      <c r="X23" s="78"/>
      <c r="Y23" s="78"/>
      <c r="Z23" s="210"/>
    </row>
    <row r="24" spans="1:27" ht="16.350000000000001" customHeight="1" thickBot="1" x14ac:dyDescent="0.3">
      <c r="A24" s="82" t="s">
        <v>46</v>
      </c>
      <c r="B24" s="83"/>
      <c r="C24" s="84" t="e">
        <f>SUM(#REF!)</f>
        <v>#REF!</v>
      </c>
      <c r="D24" s="85" t="e">
        <f>SUM(#REF!)</f>
        <v>#REF!</v>
      </c>
      <c r="E24" s="84" t="e">
        <f>SUM(C24:D24)</f>
        <v>#REF!</v>
      </c>
      <c r="F24" s="84" t="e">
        <f>SUM(#REF!)</f>
        <v>#REF!</v>
      </c>
      <c r="G24" s="84" t="e">
        <f>SUM(#REF!)</f>
        <v>#REF!</v>
      </c>
      <c r="H24" s="86" t="e">
        <f>SUM(#REF!)</f>
        <v>#REF!</v>
      </c>
      <c r="I24" s="84" t="e">
        <f>SUM(#REF!)</f>
        <v>#REF!</v>
      </c>
      <c r="J24" s="84" t="e">
        <f>SUM(#REF!)</f>
        <v>#REF!</v>
      </c>
      <c r="K24" s="87" t="e">
        <f t="shared" si="6"/>
        <v>#REF!</v>
      </c>
      <c r="L24" s="84">
        <f>SUM(L28:L44)</f>
        <v>7373</v>
      </c>
      <c r="M24" s="84" t="e">
        <f>SUM(#REF!)</f>
        <v>#REF!</v>
      </c>
      <c r="N24" s="86" t="e">
        <f>L24/K24</f>
        <v>#REF!</v>
      </c>
      <c r="O24" s="84">
        <f>SUM(O28:O37)</f>
        <v>130</v>
      </c>
      <c r="P24" s="87">
        <f>SUM(P28:P44)</f>
        <v>7373</v>
      </c>
      <c r="Q24" s="84">
        <f>SUM(Q28:Q44)</f>
        <v>119</v>
      </c>
      <c r="R24" s="86">
        <f>SUM(R28:R44)</f>
        <v>0</v>
      </c>
      <c r="S24" s="84">
        <f>SUM(S26:S44)</f>
        <v>7492</v>
      </c>
      <c r="T24" s="84">
        <f>SUM(T26:T44)</f>
        <v>0</v>
      </c>
      <c r="U24" s="84">
        <f>SUM(U26:U44)</f>
        <v>0</v>
      </c>
      <c r="V24" s="84">
        <f>SUM(V26:V44)</f>
        <v>0</v>
      </c>
      <c r="W24" s="87">
        <f>SUM(S24:V24)</f>
        <v>7492</v>
      </c>
      <c r="X24" s="84">
        <f t="shared" ref="X24" si="23">SUM(X28:X44)</f>
        <v>7639</v>
      </c>
      <c r="Y24" s="84">
        <f>X24-W24</f>
        <v>147</v>
      </c>
      <c r="Z24" s="211">
        <f>X24/W24</f>
        <v>1.0196209289909237</v>
      </c>
      <c r="AA24" s="191"/>
    </row>
    <row r="25" spans="1:27" x14ac:dyDescent="0.25">
      <c r="A25" s="88" t="s">
        <v>47</v>
      </c>
      <c r="B25" s="25"/>
      <c r="C25" s="26"/>
      <c r="D25" s="27"/>
      <c r="E25" s="26"/>
      <c r="F25" s="26"/>
      <c r="G25" s="26"/>
      <c r="H25" s="28"/>
      <c r="I25" s="26"/>
      <c r="J25" s="26"/>
      <c r="K25" s="29"/>
      <c r="L25" s="26"/>
      <c r="M25" s="26"/>
      <c r="N25" s="28"/>
      <c r="O25" s="26"/>
      <c r="P25" s="28"/>
      <c r="Q25" s="26"/>
      <c r="R25" s="28"/>
      <c r="S25" s="26"/>
      <c r="T25" s="26"/>
      <c r="U25" s="26"/>
      <c r="V25" s="26"/>
      <c r="W25" s="29"/>
      <c r="X25" s="26"/>
      <c r="Y25" s="26"/>
      <c r="Z25" s="203"/>
    </row>
    <row r="26" spans="1:27" ht="25.5" x14ac:dyDescent="0.25">
      <c r="A26" s="88" t="s">
        <v>48</v>
      </c>
      <c r="B26" s="25"/>
      <c r="C26" s="26"/>
      <c r="D26" s="27"/>
      <c r="E26" s="26"/>
      <c r="F26" s="26"/>
      <c r="G26" s="26"/>
      <c r="H26" s="28"/>
      <c r="I26" s="26"/>
      <c r="J26" s="26"/>
      <c r="K26" s="29"/>
      <c r="L26" s="26">
        <v>0</v>
      </c>
      <c r="M26" s="26"/>
      <c r="N26" s="28"/>
      <c r="O26" s="26"/>
      <c r="P26" s="29"/>
      <c r="Q26" s="26"/>
      <c r="R26" s="28"/>
      <c r="S26" s="26">
        <f>20</f>
        <v>20</v>
      </c>
      <c r="T26" s="26">
        <v>0</v>
      </c>
      <c r="U26" s="26">
        <v>0</v>
      </c>
      <c r="V26" s="26">
        <v>0</v>
      </c>
      <c r="W26" s="29">
        <f t="shared" ref="W26:W95" si="24">SUM(S26:V26)</f>
        <v>20</v>
      </c>
      <c r="X26" s="26">
        <v>0</v>
      </c>
      <c r="Y26" s="26">
        <f>X26-W26</f>
        <v>-20</v>
      </c>
      <c r="Z26" s="203">
        <f>X26/W26</f>
        <v>0</v>
      </c>
    </row>
    <row r="27" spans="1:27" ht="37.5" customHeight="1" x14ac:dyDescent="0.25">
      <c r="A27" s="88" t="s">
        <v>49</v>
      </c>
      <c r="B27" s="25"/>
      <c r="C27" s="26"/>
      <c r="D27" s="27"/>
      <c r="E27" s="26"/>
      <c r="F27" s="26"/>
      <c r="G27" s="26"/>
      <c r="H27" s="28"/>
      <c r="I27" s="26"/>
      <c r="J27" s="26"/>
      <c r="K27" s="29"/>
      <c r="L27" s="26">
        <v>0</v>
      </c>
      <c r="M27" s="26"/>
      <c r="N27" s="28"/>
      <c r="O27" s="26"/>
      <c r="P27" s="29"/>
      <c r="Q27" s="26"/>
      <c r="R27" s="28"/>
      <c r="S27" s="26">
        <f>15</f>
        <v>15</v>
      </c>
      <c r="T27" s="26">
        <v>0</v>
      </c>
      <c r="U27" s="26">
        <v>0</v>
      </c>
      <c r="V27" s="26">
        <v>0</v>
      </c>
      <c r="W27" s="29">
        <f t="shared" si="24"/>
        <v>15</v>
      </c>
      <c r="X27" s="26">
        <v>0</v>
      </c>
      <c r="Y27" s="26">
        <f t="shared" ref="Y27:Y44" si="25">X27-W27</f>
        <v>-15</v>
      </c>
      <c r="Z27" s="203">
        <f t="shared" ref="Z27:Z44" si="26">X27/W27</f>
        <v>0</v>
      </c>
    </row>
    <row r="28" spans="1:27" ht="25.5" customHeight="1" x14ac:dyDescent="0.25">
      <c r="A28" s="89" t="s">
        <v>50</v>
      </c>
      <c r="B28" s="90"/>
      <c r="C28" s="34"/>
      <c r="D28" s="91"/>
      <c r="E28" s="57"/>
      <c r="F28" s="57"/>
      <c r="G28" s="57"/>
      <c r="H28" s="92"/>
      <c r="I28" s="57"/>
      <c r="J28" s="57"/>
      <c r="K28" s="93"/>
      <c r="L28" s="34">
        <v>0</v>
      </c>
      <c r="M28" s="34"/>
      <c r="N28" s="35"/>
      <c r="O28" s="34">
        <f>50</f>
        <v>50</v>
      </c>
      <c r="P28" s="93">
        <f>SUM(L28:O28)</f>
        <v>50</v>
      </c>
      <c r="Q28" s="34">
        <v>0</v>
      </c>
      <c r="R28" s="35">
        <v>0</v>
      </c>
      <c r="S28" s="34">
        <f>SUM(P28:R28)</f>
        <v>50</v>
      </c>
      <c r="T28" s="34">
        <v>0</v>
      </c>
      <c r="U28" s="34">
        <v>0</v>
      </c>
      <c r="V28" s="26">
        <v>0</v>
      </c>
      <c r="W28" s="29">
        <f>SUM(S28:V28)</f>
        <v>50</v>
      </c>
      <c r="X28" s="34">
        <v>0</v>
      </c>
      <c r="Y28" s="26">
        <f t="shared" si="25"/>
        <v>-50</v>
      </c>
      <c r="Z28" s="203">
        <f t="shared" si="26"/>
        <v>0</v>
      </c>
    </row>
    <row r="29" spans="1:27" ht="39" customHeight="1" x14ac:dyDescent="0.25">
      <c r="A29" s="89" t="s">
        <v>51</v>
      </c>
      <c r="B29" s="90"/>
      <c r="C29" s="34"/>
      <c r="D29" s="91"/>
      <c r="E29" s="57"/>
      <c r="F29" s="57"/>
      <c r="G29" s="57"/>
      <c r="H29" s="92"/>
      <c r="I29" s="57"/>
      <c r="J29" s="57"/>
      <c r="K29" s="93"/>
      <c r="L29" s="34">
        <v>0</v>
      </c>
      <c r="M29" s="34"/>
      <c r="N29" s="35"/>
      <c r="O29" s="34"/>
      <c r="P29" s="93">
        <v>0</v>
      </c>
      <c r="Q29" s="34">
        <v>0</v>
      </c>
      <c r="R29" s="35">
        <f>10</f>
        <v>10</v>
      </c>
      <c r="S29" s="34">
        <f>SUM(P29:R29)</f>
        <v>10</v>
      </c>
      <c r="T29" s="34">
        <v>0</v>
      </c>
      <c r="U29" s="34">
        <v>0</v>
      </c>
      <c r="V29" s="26">
        <v>0</v>
      </c>
      <c r="W29" s="29">
        <f t="shared" si="24"/>
        <v>10</v>
      </c>
      <c r="X29" s="34">
        <v>0</v>
      </c>
      <c r="Y29" s="26">
        <f t="shared" si="25"/>
        <v>-10</v>
      </c>
      <c r="Z29" s="203">
        <f t="shared" si="26"/>
        <v>0</v>
      </c>
    </row>
    <row r="30" spans="1:27" ht="24.75" customHeight="1" x14ac:dyDescent="0.25">
      <c r="A30" s="89" t="s">
        <v>52</v>
      </c>
      <c r="B30" s="90"/>
      <c r="C30" s="34"/>
      <c r="D30" s="91"/>
      <c r="E30" s="57"/>
      <c r="F30" s="57"/>
      <c r="G30" s="57"/>
      <c r="H30" s="92"/>
      <c r="I30" s="57"/>
      <c r="J30" s="57"/>
      <c r="K30" s="93"/>
      <c r="L30" s="34">
        <v>0</v>
      </c>
      <c r="M30" s="34"/>
      <c r="N30" s="35"/>
      <c r="O30" s="34"/>
      <c r="P30" s="93">
        <f>50</f>
        <v>50</v>
      </c>
      <c r="Q30" s="34">
        <v>0</v>
      </c>
      <c r="R30" s="35">
        <v>0</v>
      </c>
      <c r="S30" s="34">
        <f>SUM(P30:R30)</f>
        <v>50</v>
      </c>
      <c r="T30" s="34">
        <v>0</v>
      </c>
      <c r="U30" s="34">
        <v>0</v>
      </c>
      <c r="V30" s="26">
        <v>0</v>
      </c>
      <c r="W30" s="29">
        <f t="shared" si="24"/>
        <v>50</v>
      </c>
      <c r="X30" s="34">
        <v>0</v>
      </c>
      <c r="Y30" s="26">
        <f t="shared" si="25"/>
        <v>-50</v>
      </c>
      <c r="Z30" s="203">
        <f t="shared" si="26"/>
        <v>0</v>
      </c>
    </row>
    <row r="31" spans="1:27" ht="24.75" customHeight="1" x14ac:dyDescent="0.25">
      <c r="A31" s="89" t="s">
        <v>53</v>
      </c>
      <c r="B31" s="90"/>
      <c r="C31" s="34"/>
      <c r="D31" s="91"/>
      <c r="E31" s="57"/>
      <c r="F31" s="57"/>
      <c r="G31" s="57"/>
      <c r="H31" s="92"/>
      <c r="I31" s="57"/>
      <c r="J31" s="57"/>
      <c r="K31" s="93"/>
      <c r="L31" s="34">
        <v>0</v>
      </c>
      <c r="M31" s="34"/>
      <c r="N31" s="35"/>
      <c r="O31" s="34"/>
      <c r="P31" s="93">
        <v>0</v>
      </c>
      <c r="Q31" s="34">
        <v>100</v>
      </c>
      <c r="R31" s="35">
        <v>0</v>
      </c>
      <c r="S31" s="34">
        <f t="shared" ref="S31:S42" si="27">SUM(P31:R31)</f>
        <v>100</v>
      </c>
      <c r="T31" s="34">
        <v>0</v>
      </c>
      <c r="U31" s="34">
        <v>0</v>
      </c>
      <c r="V31" s="26">
        <v>0</v>
      </c>
      <c r="W31" s="29">
        <f t="shared" si="24"/>
        <v>100</v>
      </c>
      <c r="X31" s="34">
        <v>0</v>
      </c>
      <c r="Y31" s="26">
        <f t="shared" si="25"/>
        <v>-100</v>
      </c>
      <c r="Z31" s="203">
        <f t="shared" si="26"/>
        <v>0</v>
      </c>
    </row>
    <row r="32" spans="1:27" ht="27.75" customHeight="1" x14ac:dyDescent="0.25">
      <c r="A32" s="89" t="s">
        <v>54</v>
      </c>
      <c r="B32" s="90"/>
      <c r="C32" s="34"/>
      <c r="D32" s="91"/>
      <c r="E32" s="57"/>
      <c r="F32" s="57"/>
      <c r="G32" s="57"/>
      <c r="H32" s="92"/>
      <c r="I32" s="57"/>
      <c r="J32" s="57"/>
      <c r="K32" s="93"/>
      <c r="L32" s="34">
        <v>0</v>
      </c>
      <c r="M32" s="34"/>
      <c r="N32" s="35"/>
      <c r="O32" s="34">
        <f>10</f>
        <v>10</v>
      </c>
      <c r="P32" s="93">
        <f>SUM(L32:O32)</f>
        <v>10</v>
      </c>
      <c r="Q32" s="34">
        <v>0</v>
      </c>
      <c r="R32" s="35">
        <v>0</v>
      </c>
      <c r="S32" s="34">
        <f t="shared" si="27"/>
        <v>10</v>
      </c>
      <c r="T32" s="34">
        <v>0</v>
      </c>
      <c r="U32" s="34">
        <v>0</v>
      </c>
      <c r="V32" s="26">
        <v>0</v>
      </c>
      <c r="W32" s="29">
        <f t="shared" si="24"/>
        <v>10</v>
      </c>
      <c r="X32" s="34">
        <v>0</v>
      </c>
      <c r="Y32" s="26">
        <f t="shared" si="25"/>
        <v>-10</v>
      </c>
      <c r="Z32" s="203">
        <f t="shared" si="26"/>
        <v>0</v>
      </c>
    </row>
    <row r="33" spans="1:27" ht="25.5" customHeight="1" x14ac:dyDescent="0.25">
      <c r="A33" s="89" t="s">
        <v>55</v>
      </c>
      <c r="B33" s="90"/>
      <c r="C33" s="34"/>
      <c r="D33" s="91"/>
      <c r="E33" s="57"/>
      <c r="F33" s="57"/>
      <c r="G33" s="57"/>
      <c r="H33" s="92"/>
      <c r="I33" s="57"/>
      <c r="J33" s="57"/>
      <c r="K33" s="93"/>
      <c r="L33" s="34">
        <v>0</v>
      </c>
      <c r="M33" s="34"/>
      <c r="N33" s="35"/>
      <c r="O33" s="34"/>
      <c r="P33" s="93">
        <f>30</f>
        <v>30</v>
      </c>
      <c r="Q33" s="34">
        <v>0</v>
      </c>
      <c r="R33" s="35">
        <v>0</v>
      </c>
      <c r="S33" s="34">
        <f t="shared" si="27"/>
        <v>30</v>
      </c>
      <c r="T33" s="34">
        <v>0</v>
      </c>
      <c r="U33" s="34">
        <v>0</v>
      </c>
      <c r="V33" s="26">
        <v>0</v>
      </c>
      <c r="W33" s="29">
        <f t="shared" si="24"/>
        <v>30</v>
      </c>
      <c r="X33" s="34">
        <v>0</v>
      </c>
      <c r="Y33" s="26">
        <f t="shared" si="25"/>
        <v>-30</v>
      </c>
      <c r="Z33" s="203">
        <f t="shared" si="26"/>
        <v>0</v>
      </c>
    </row>
    <row r="34" spans="1:27" ht="37.5" customHeight="1" x14ac:dyDescent="0.25">
      <c r="A34" s="89" t="s">
        <v>56</v>
      </c>
      <c r="B34" s="90"/>
      <c r="C34" s="34"/>
      <c r="D34" s="91"/>
      <c r="E34" s="57"/>
      <c r="F34" s="57"/>
      <c r="G34" s="57"/>
      <c r="H34" s="92"/>
      <c r="I34" s="57"/>
      <c r="J34" s="57"/>
      <c r="K34" s="93"/>
      <c r="L34" s="34">
        <v>0</v>
      </c>
      <c r="M34" s="34"/>
      <c r="N34" s="35"/>
      <c r="O34" s="34"/>
      <c r="P34" s="93">
        <f>20</f>
        <v>20</v>
      </c>
      <c r="Q34" s="34">
        <v>0</v>
      </c>
      <c r="R34" s="35">
        <v>0</v>
      </c>
      <c r="S34" s="34">
        <f>SUM(P34:R34)</f>
        <v>20</v>
      </c>
      <c r="T34" s="34">
        <v>0</v>
      </c>
      <c r="U34" s="34">
        <v>0</v>
      </c>
      <c r="V34" s="26">
        <v>0</v>
      </c>
      <c r="W34" s="29">
        <f t="shared" si="24"/>
        <v>20</v>
      </c>
      <c r="X34" s="34">
        <v>0</v>
      </c>
      <c r="Y34" s="26">
        <f t="shared" si="25"/>
        <v>-20</v>
      </c>
      <c r="Z34" s="203">
        <f t="shared" si="26"/>
        <v>0</v>
      </c>
    </row>
    <row r="35" spans="1:27" ht="27" customHeight="1" x14ac:dyDescent="0.25">
      <c r="A35" s="89" t="s">
        <v>57</v>
      </c>
      <c r="B35" s="90"/>
      <c r="C35" s="34"/>
      <c r="D35" s="91"/>
      <c r="E35" s="57"/>
      <c r="F35" s="57"/>
      <c r="G35" s="57"/>
      <c r="H35" s="92"/>
      <c r="I35" s="57"/>
      <c r="J35" s="57"/>
      <c r="K35" s="93"/>
      <c r="L35" s="34">
        <v>0</v>
      </c>
      <c r="M35" s="34"/>
      <c r="N35" s="35"/>
      <c r="O35" s="34"/>
      <c r="P35" s="93"/>
      <c r="Q35" s="34"/>
      <c r="R35" s="35"/>
      <c r="S35" s="34">
        <f>16</f>
        <v>16</v>
      </c>
      <c r="T35" s="34">
        <v>0</v>
      </c>
      <c r="U35" s="34">
        <v>0</v>
      </c>
      <c r="V35" s="26">
        <v>0</v>
      </c>
      <c r="W35" s="29">
        <f t="shared" si="24"/>
        <v>16</v>
      </c>
      <c r="X35" s="34">
        <v>0</v>
      </c>
      <c r="Y35" s="26">
        <f t="shared" si="25"/>
        <v>-16</v>
      </c>
      <c r="Z35" s="203">
        <f t="shared" si="26"/>
        <v>0</v>
      </c>
    </row>
    <row r="36" spans="1:27" ht="51.75" customHeight="1" x14ac:dyDescent="0.25">
      <c r="A36" s="94" t="s">
        <v>58</v>
      </c>
      <c r="B36" s="95"/>
      <c r="C36" s="40"/>
      <c r="D36" s="39"/>
      <c r="E36" s="64"/>
      <c r="F36" s="64"/>
      <c r="G36" s="64"/>
      <c r="H36" s="96"/>
      <c r="I36" s="64"/>
      <c r="J36" s="64"/>
      <c r="K36" s="194"/>
      <c r="L36" s="40">
        <v>0</v>
      </c>
      <c r="M36" s="40"/>
      <c r="N36" s="41"/>
      <c r="O36" s="40">
        <v>40</v>
      </c>
      <c r="P36" s="194">
        <f>SUM(L36:O36)</f>
        <v>40</v>
      </c>
      <c r="Q36" s="40">
        <v>0</v>
      </c>
      <c r="R36" s="41">
        <v>0</v>
      </c>
      <c r="S36" s="26">
        <f t="shared" si="27"/>
        <v>40</v>
      </c>
      <c r="T36" s="26">
        <v>0</v>
      </c>
      <c r="U36" s="26">
        <v>0</v>
      </c>
      <c r="V36" s="26">
        <v>0</v>
      </c>
      <c r="W36" s="29">
        <f t="shared" si="24"/>
        <v>40</v>
      </c>
      <c r="X36" s="40">
        <v>0</v>
      </c>
      <c r="Y36" s="26">
        <f>X36-W36</f>
        <v>-40</v>
      </c>
      <c r="Z36" s="203">
        <f t="shared" si="26"/>
        <v>0</v>
      </c>
    </row>
    <row r="37" spans="1:27" ht="29.25" customHeight="1" x14ac:dyDescent="0.25">
      <c r="A37" s="89" t="s">
        <v>59</v>
      </c>
      <c r="B37" s="97"/>
      <c r="C37" s="34"/>
      <c r="D37" s="91"/>
      <c r="E37" s="57"/>
      <c r="F37" s="57"/>
      <c r="G37" s="57"/>
      <c r="H37" s="92"/>
      <c r="I37" s="57"/>
      <c r="J37" s="57"/>
      <c r="K37" s="93"/>
      <c r="L37" s="34">
        <v>0</v>
      </c>
      <c r="M37" s="34"/>
      <c r="N37" s="35"/>
      <c r="O37" s="34">
        <v>30</v>
      </c>
      <c r="P37" s="93">
        <f>SUM(L37:O37)</f>
        <v>30</v>
      </c>
      <c r="Q37" s="34">
        <v>0</v>
      </c>
      <c r="R37" s="35">
        <v>0</v>
      </c>
      <c r="S37" s="34">
        <f>SUM(P37:R37)</f>
        <v>30</v>
      </c>
      <c r="T37" s="34">
        <v>0</v>
      </c>
      <c r="U37" s="34">
        <v>0</v>
      </c>
      <c r="V37" s="34">
        <v>0</v>
      </c>
      <c r="W37" s="29">
        <f t="shared" si="24"/>
        <v>30</v>
      </c>
      <c r="X37" s="34">
        <v>0</v>
      </c>
      <c r="Y37" s="26">
        <f t="shared" si="25"/>
        <v>-30</v>
      </c>
      <c r="Z37" s="203">
        <f t="shared" si="26"/>
        <v>0</v>
      </c>
    </row>
    <row r="38" spans="1:27" ht="40.5" customHeight="1" x14ac:dyDescent="0.25">
      <c r="A38" s="89" t="s">
        <v>60</v>
      </c>
      <c r="B38" s="90"/>
      <c r="C38" s="34"/>
      <c r="D38" s="91"/>
      <c r="E38" s="57"/>
      <c r="F38" s="57"/>
      <c r="G38" s="57"/>
      <c r="H38" s="92"/>
      <c r="I38" s="57"/>
      <c r="J38" s="57"/>
      <c r="K38" s="93"/>
      <c r="L38" s="34">
        <v>0</v>
      </c>
      <c r="M38" s="34"/>
      <c r="N38" s="35"/>
      <c r="O38" s="34"/>
      <c r="P38" s="93"/>
      <c r="Q38" s="34"/>
      <c r="R38" s="35"/>
      <c r="S38" s="34">
        <v>0</v>
      </c>
      <c r="T38" s="34">
        <v>100</v>
      </c>
      <c r="U38" s="34">
        <v>0</v>
      </c>
      <c r="V38" s="34">
        <v>0</v>
      </c>
      <c r="W38" s="93">
        <f>SUM(S38:V38)</f>
        <v>100</v>
      </c>
      <c r="X38" s="34">
        <v>0</v>
      </c>
      <c r="Y38" s="26">
        <f t="shared" si="25"/>
        <v>-100</v>
      </c>
      <c r="Z38" s="203">
        <f t="shared" si="26"/>
        <v>0</v>
      </c>
    </row>
    <row r="39" spans="1:27" ht="26.25" customHeight="1" x14ac:dyDescent="0.25">
      <c r="A39" s="89" t="s">
        <v>333</v>
      </c>
      <c r="B39" s="90"/>
      <c r="C39" s="34"/>
      <c r="D39" s="91"/>
      <c r="E39" s="57"/>
      <c r="F39" s="57"/>
      <c r="G39" s="57"/>
      <c r="H39" s="92"/>
      <c r="I39" s="57"/>
      <c r="J39" s="57"/>
      <c r="K39" s="93"/>
      <c r="L39" s="34">
        <v>0</v>
      </c>
      <c r="M39" s="34"/>
      <c r="N39" s="35"/>
      <c r="O39" s="34"/>
      <c r="P39" s="93"/>
      <c r="Q39" s="34"/>
      <c r="R39" s="35"/>
      <c r="S39" s="34">
        <v>0</v>
      </c>
      <c r="T39" s="34">
        <v>0</v>
      </c>
      <c r="U39" s="34">
        <v>0</v>
      </c>
      <c r="V39" s="34">
        <f>20</f>
        <v>20</v>
      </c>
      <c r="W39" s="93">
        <f>SUM(S39:V39)</f>
        <v>20</v>
      </c>
      <c r="X39" s="34">
        <v>0</v>
      </c>
      <c r="Y39" s="26">
        <f t="shared" si="25"/>
        <v>-20</v>
      </c>
      <c r="Z39" s="203">
        <f t="shared" si="26"/>
        <v>0</v>
      </c>
    </row>
    <row r="40" spans="1:27" ht="28.5" customHeight="1" x14ac:dyDescent="0.25">
      <c r="A40" s="94" t="s">
        <v>334</v>
      </c>
      <c r="B40" s="95"/>
      <c r="C40" s="40"/>
      <c r="D40" s="39"/>
      <c r="E40" s="64"/>
      <c r="F40" s="64"/>
      <c r="G40" s="64"/>
      <c r="H40" s="96"/>
      <c r="I40" s="64"/>
      <c r="J40" s="64"/>
      <c r="K40" s="194"/>
      <c r="L40" s="40">
        <v>0</v>
      </c>
      <c r="M40" s="40"/>
      <c r="N40" s="41"/>
      <c r="O40" s="40"/>
      <c r="P40" s="194"/>
      <c r="Q40" s="40"/>
      <c r="R40" s="41"/>
      <c r="S40" s="26">
        <v>0</v>
      </c>
      <c r="T40" s="26">
        <v>0</v>
      </c>
      <c r="U40" s="26">
        <v>0</v>
      </c>
      <c r="V40" s="26">
        <f>31.19</f>
        <v>31.19</v>
      </c>
      <c r="W40" s="29">
        <f>SUM(S40:V40)</f>
        <v>31.19</v>
      </c>
      <c r="X40" s="40">
        <v>0</v>
      </c>
      <c r="Y40" s="26">
        <f t="shared" si="25"/>
        <v>-31.19</v>
      </c>
      <c r="Z40" s="203">
        <f t="shared" si="26"/>
        <v>0</v>
      </c>
    </row>
    <row r="41" spans="1:27" ht="25.5" customHeight="1" x14ac:dyDescent="0.25">
      <c r="A41" s="98" t="s">
        <v>61</v>
      </c>
      <c r="B41" s="102"/>
      <c r="C41" s="38"/>
      <c r="D41" s="99"/>
      <c r="E41" s="62"/>
      <c r="F41" s="62"/>
      <c r="G41" s="62"/>
      <c r="H41" s="100"/>
      <c r="I41" s="62"/>
      <c r="J41" s="62"/>
      <c r="K41" s="101"/>
      <c r="L41" s="38">
        <v>0</v>
      </c>
      <c r="M41" s="38"/>
      <c r="N41" s="42"/>
      <c r="O41" s="38"/>
      <c r="P41" s="101">
        <v>0</v>
      </c>
      <c r="Q41" s="38">
        <v>0</v>
      </c>
      <c r="R41" s="42">
        <f>50</f>
        <v>50</v>
      </c>
      <c r="S41" s="34">
        <f>SUM(P41:R41)</f>
        <v>50</v>
      </c>
      <c r="T41" s="34">
        <v>0</v>
      </c>
      <c r="U41" s="34">
        <v>0</v>
      </c>
      <c r="V41" s="26">
        <v>0</v>
      </c>
      <c r="W41" s="29">
        <f t="shared" si="24"/>
        <v>50</v>
      </c>
      <c r="X41" s="38">
        <v>0</v>
      </c>
      <c r="Y41" s="26">
        <f t="shared" si="25"/>
        <v>-50</v>
      </c>
      <c r="Z41" s="203">
        <f t="shared" si="26"/>
        <v>0</v>
      </c>
    </row>
    <row r="42" spans="1:27" ht="15" customHeight="1" x14ac:dyDescent="0.25">
      <c r="A42" s="89" t="s">
        <v>62</v>
      </c>
      <c r="B42" s="90"/>
      <c r="C42" s="34"/>
      <c r="D42" s="91"/>
      <c r="E42" s="57"/>
      <c r="F42" s="57"/>
      <c r="G42" s="57"/>
      <c r="H42" s="92"/>
      <c r="I42" s="57"/>
      <c r="J42" s="57"/>
      <c r="K42" s="93"/>
      <c r="L42" s="34">
        <v>0</v>
      </c>
      <c r="M42" s="34"/>
      <c r="N42" s="35"/>
      <c r="O42" s="34"/>
      <c r="P42" s="93">
        <v>0</v>
      </c>
      <c r="Q42" s="34">
        <v>80</v>
      </c>
      <c r="R42" s="35">
        <v>0</v>
      </c>
      <c r="S42" s="34">
        <f t="shared" si="27"/>
        <v>80</v>
      </c>
      <c r="T42" s="34">
        <v>0</v>
      </c>
      <c r="U42" s="34">
        <v>0</v>
      </c>
      <c r="V42" s="26">
        <v>0</v>
      </c>
      <c r="W42" s="29">
        <f t="shared" si="24"/>
        <v>80</v>
      </c>
      <c r="X42" s="34">
        <v>0</v>
      </c>
      <c r="Y42" s="26">
        <f t="shared" si="25"/>
        <v>-80</v>
      </c>
      <c r="Z42" s="203">
        <f t="shared" si="26"/>
        <v>0</v>
      </c>
    </row>
    <row r="43" spans="1:27" ht="25.5" customHeight="1" x14ac:dyDescent="0.25">
      <c r="A43" s="88" t="s">
        <v>63</v>
      </c>
      <c r="B43" s="103"/>
      <c r="C43" s="26"/>
      <c r="D43" s="27"/>
      <c r="E43" s="59"/>
      <c r="F43" s="59"/>
      <c r="G43" s="59"/>
      <c r="H43" s="60"/>
      <c r="I43" s="59"/>
      <c r="J43" s="59"/>
      <c r="K43" s="29"/>
      <c r="L43" s="26">
        <v>0</v>
      </c>
      <c r="M43" s="26"/>
      <c r="N43" s="28"/>
      <c r="O43" s="26"/>
      <c r="P43" s="29">
        <v>0</v>
      </c>
      <c r="Q43" s="26">
        <v>0</v>
      </c>
      <c r="R43" s="28">
        <f>5</f>
        <v>5</v>
      </c>
      <c r="S43" s="34">
        <f>SUM(P43:R43)</f>
        <v>5</v>
      </c>
      <c r="T43" s="34">
        <v>0</v>
      </c>
      <c r="U43" s="34">
        <v>0</v>
      </c>
      <c r="V43" s="26">
        <v>0</v>
      </c>
      <c r="W43" s="29">
        <f t="shared" si="24"/>
        <v>5</v>
      </c>
      <c r="X43" s="26">
        <v>0</v>
      </c>
      <c r="Y43" s="26">
        <f t="shared" si="25"/>
        <v>-5</v>
      </c>
      <c r="Z43" s="203">
        <f t="shared" si="26"/>
        <v>0</v>
      </c>
    </row>
    <row r="44" spans="1:27" ht="15.75" customHeight="1" thickBot="1" x14ac:dyDescent="0.3">
      <c r="A44" s="94" t="s">
        <v>64</v>
      </c>
      <c r="B44" s="95"/>
      <c r="C44" s="40">
        <v>6475</v>
      </c>
      <c r="D44" s="39">
        <f>-40-100</f>
        <v>-140</v>
      </c>
      <c r="E44" s="64">
        <f>SUM(C44:D44)-65</f>
        <v>6270</v>
      </c>
      <c r="F44" s="64">
        <v>-60</v>
      </c>
      <c r="G44" s="64">
        <f>-155-50-70-50</f>
        <v>-325</v>
      </c>
      <c r="H44" s="96">
        <f>SUM(E44:G44)</f>
        <v>5885</v>
      </c>
      <c r="I44" s="64">
        <f>-100-88</f>
        <v>-188</v>
      </c>
      <c r="J44" s="64">
        <f>-11-14-40-12.1-24.5</f>
        <v>-101.6</v>
      </c>
      <c r="K44" s="194">
        <f t="shared" ref="K44" si="28">SUM(H44:J44)</f>
        <v>5595.4</v>
      </c>
      <c r="L44" s="40">
        <v>7373</v>
      </c>
      <c r="M44" s="40">
        <f t="shared" ref="M44" si="29">L44-K44</f>
        <v>1777.6000000000004</v>
      </c>
      <c r="N44" s="41">
        <f>L44/K44</f>
        <v>1.3176895306859207</v>
      </c>
      <c r="O44" s="40">
        <f>-60-70</f>
        <v>-130</v>
      </c>
      <c r="P44" s="41">
        <f>L44+O44-100</f>
        <v>7143</v>
      </c>
      <c r="Q44" s="40">
        <v>-61</v>
      </c>
      <c r="R44" s="41">
        <f>-5-10-50</f>
        <v>-65</v>
      </c>
      <c r="S44" s="38">
        <f>SUM(P44:R44)-35-16</f>
        <v>6966</v>
      </c>
      <c r="T44" s="38">
        <v>-100</v>
      </c>
      <c r="U44" s="38">
        <v>0</v>
      </c>
      <c r="V44" s="40">
        <f>-51.19</f>
        <v>-51.19</v>
      </c>
      <c r="W44" s="194">
        <f t="shared" si="24"/>
        <v>6814.81</v>
      </c>
      <c r="X44" s="40">
        <v>7639</v>
      </c>
      <c r="Y44" s="26">
        <f t="shared" si="25"/>
        <v>824.1899999999996</v>
      </c>
      <c r="Z44" s="203">
        <f t="shared" si="26"/>
        <v>1.1209410093604957</v>
      </c>
    </row>
    <row r="45" spans="1:27" ht="15" customHeight="1" thickBot="1" x14ac:dyDescent="0.3">
      <c r="A45" s="104" t="s">
        <v>65</v>
      </c>
      <c r="B45" s="105"/>
      <c r="C45" s="84">
        <f>SUM(C47:C50)</f>
        <v>288995</v>
      </c>
      <c r="D45" s="85">
        <f>SUM(D47:D50)</f>
        <v>5.5</v>
      </c>
      <c r="E45" s="84">
        <f>SUM(C45:D45)</f>
        <v>289000.5</v>
      </c>
      <c r="F45" s="84">
        <f>SUM(F47:F50)</f>
        <v>45.6</v>
      </c>
      <c r="G45" s="84">
        <f>SUM(G47:G50)</f>
        <v>18638.97</v>
      </c>
      <c r="H45" s="86">
        <f>SUM(H47:H50)</f>
        <v>312081.31000000006</v>
      </c>
      <c r="I45" s="84">
        <f>SUM(I47:I50)</f>
        <v>10.7</v>
      </c>
      <c r="J45" s="84">
        <f>SUM(J47:J50)</f>
        <v>1234.5</v>
      </c>
      <c r="K45" s="87">
        <f t="shared" si="6"/>
        <v>313326.51000000007</v>
      </c>
      <c r="L45" s="84">
        <f>SUM(L47:L50)</f>
        <v>318023.71999999997</v>
      </c>
      <c r="M45" s="84">
        <f>SUM(M47:M50)</f>
        <v>4697.2099999999518</v>
      </c>
      <c r="N45" s="86">
        <f>L45/K45</f>
        <v>1.0149914222068215</v>
      </c>
      <c r="O45" s="84">
        <f t="shared" ref="O45:T45" si="30">SUM(O47:O50)</f>
        <v>2115.1999999999998</v>
      </c>
      <c r="P45" s="87">
        <f t="shared" si="30"/>
        <v>320138.92</v>
      </c>
      <c r="Q45" s="84">
        <f t="shared" si="30"/>
        <v>0</v>
      </c>
      <c r="R45" s="86">
        <f t="shared" si="30"/>
        <v>4250.33</v>
      </c>
      <c r="S45" s="84">
        <f t="shared" si="30"/>
        <v>344346.44999999995</v>
      </c>
      <c r="T45" s="84">
        <f t="shared" si="30"/>
        <v>100</v>
      </c>
      <c r="U45" s="84">
        <f>SUM(U47:U50)</f>
        <v>0</v>
      </c>
      <c r="V45" s="84">
        <f>SUM(V47:V50)</f>
        <v>1470.8</v>
      </c>
      <c r="W45" s="87">
        <f t="shared" si="24"/>
        <v>345917.24999999994</v>
      </c>
      <c r="X45" s="84">
        <f t="shared" ref="X45" si="31">SUM(X47:X50)</f>
        <v>324123</v>
      </c>
      <c r="Y45" s="84">
        <f>X45-W45</f>
        <v>-21794.249999999942</v>
      </c>
      <c r="Z45" s="211">
        <f>X45/W45</f>
        <v>0.93699576994208889</v>
      </c>
      <c r="AA45" s="191"/>
    </row>
    <row r="46" spans="1:27" ht="14.25" customHeight="1" x14ac:dyDescent="0.25">
      <c r="A46" s="106" t="s">
        <v>47</v>
      </c>
      <c r="B46" s="103"/>
      <c r="C46" s="26"/>
      <c r="D46" s="27"/>
      <c r="E46" s="26"/>
      <c r="F46" s="26"/>
      <c r="G46" s="26"/>
      <c r="H46" s="28"/>
      <c r="I46" s="26"/>
      <c r="J46" s="26"/>
      <c r="K46" s="29"/>
      <c r="L46" s="26"/>
      <c r="M46" s="26"/>
      <c r="N46" s="28"/>
      <c r="O46" s="26"/>
      <c r="P46" s="28"/>
      <c r="Q46" s="26"/>
      <c r="R46" s="28"/>
      <c r="S46" s="26"/>
      <c r="T46" s="26"/>
      <c r="U46" s="26"/>
      <c r="V46" s="26"/>
      <c r="W46" s="29"/>
      <c r="X46" s="26"/>
      <c r="Y46" s="26"/>
      <c r="Z46" s="203"/>
    </row>
    <row r="47" spans="1:27" ht="14.25" customHeight="1" x14ac:dyDescent="0.25">
      <c r="A47" s="107" t="s">
        <v>66</v>
      </c>
      <c r="B47" s="90"/>
      <c r="C47" s="34">
        <v>0</v>
      </c>
      <c r="D47" s="27">
        <v>0</v>
      </c>
      <c r="E47" s="26">
        <f>SUM(C47:D47)</f>
        <v>0</v>
      </c>
      <c r="F47" s="26">
        <v>0</v>
      </c>
      <c r="G47" s="26">
        <f>18612.4</f>
        <v>18612.400000000001</v>
      </c>
      <c r="H47" s="28">
        <f>SUM(E47:G47)+4396.24</f>
        <v>23008.639999999999</v>
      </c>
      <c r="I47" s="26">
        <v>0</v>
      </c>
      <c r="J47" s="26">
        <f>1303</f>
        <v>1303</v>
      </c>
      <c r="K47" s="29">
        <f t="shared" si="6"/>
        <v>24311.64</v>
      </c>
      <c r="L47" s="34">
        <v>294.36</v>
      </c>
      <c r="M47" s="34">
        <f>L47-K47</f>
        <v>-24017.279999999999</v>
      </c>
      <c r="N47" s="35">
        <f>L47/K47</f>
        <v>1.2107780470589398E-2</v>
      </c>
      <c r="O47" s="34">
        <f>2215.2</f>
        <v>2215.1999999999998</v>
      </c>
      <c r="P47" s="35">
        <f>L47+O47</f>
        <v>2509.56</v>
      </c>
      <c r="Q47" s="34">
        <v>0</v>
      </c>
      <c r="R47" s="35">
        <f>4250.33</f>
        <v>4250.33</v>
      </c>
      <c r="S47" s="34">
        <f>SUM(P47:R47)+19950.4</f>
        <v>26710.29</v>
      </c>
      <c r="T47" s="34">
        <v>0</v>
      </c>
      <c r="U47" s="34">
        <v>0</v>
      </c>
      <c r="V47" s="26">
        <f>1353</f>
        <v>1353</v>
      </c>
      <c r="W47" s="29">
        <f t="shared" si="24"/>
        <v>28063.29</v>
      </c>
      <c r="X47" s="57" t="s">
        <v>263</v>
      </c>
      <c r="Y47" s="57" t="s">
        <v>263</v>
      </c>
      <c r="Z47" s="212" t="s">
        <v>263</v>
      </c>
    </row>
    <row r="48" spans="1:27" ht="15" customHeight="1" x14ac:dyDescent="0.25">
      <c r="A48" s="107" t="s">
        <v>67</v>
      </c>
      <c r="B48" s="90"/>
      <c r="C48" s="34">
        <v>700</v>
      </c>
      <c r="D48" s="91">
        <f>5.5</f>
        <v>5.5</v>
      </c>
      <c r="E48" s="34">
        <f>SUM(C48:D48)</f>
        <v>705.5</v>
      </c>
      <c r="F48" s="34">
        <v>35.700000000000003</v>
      </c>
      <c r="G48" s="34">
        <f>21.44+5.13</f>
        <v>26.57</v>
      </c>
      <c r="H48" s="35">
        <f t="shared" ref="H48:H49" si="32">SUM(E48:G48)</f>
        <v>767.7700000000001</v>
      </c>
      <c r="I48" s="34">
        <v>0</v>
      </c>
      <c r="J48" s="34">
        <f>28.36+3.82+14.32</f>
        <v>46.5</v>
      </c>
      <c r="K48" s="29">
        <f t="shared" si="6"/>
        <v>814.2700000000001</v>
      </c>
      <c r="L48" s="34">
        <v>700</v>
      </c>
      <c r="M48" s="34">
        <f t="shared" ref="M48:M50" si="33">L48-K48</f>
        <v>-114.2700000000001</v>
      </c>
      <c r="N48" s="35">
        <f t="shared" ref="N48:N50" si="34">L48/K48</f>
        <v>0.85966571284708992</v>
      </c>
      <c r="O48" s="34">
        <v>0</v>
      </c>
      <c r="P48" s="35">
        <f t="shared" ref="P48:P50" si="35">L48+O48</f>
        <v>700</v>
      </c>
      <c r="Q48" s="34">
        <v>0</v>
      </c>
      <c r="R48" s="35">
        <v>0</v>
      </c>
      <c r="S48" s="34">
        <f>SUM(P48:R48)+6.8</f>
        <v>706.8</v>
      </c>
      <c r="T48" s="34">
        <v>0</v>
      </c>
      <c r="U48" s="34">
        <v>0</v>
      </c>
      <c r="V48" s="26">
        <f>16.4+101.4</f>
        <v>117.80000000000001</v>
      </c>
      <c r="W48" s="29">
        <f t="shared" si="24"/>
        <v>824.59999999999991</v>
      </c>
      <c r="X48" s="34">
        <v>700</v>
      </c>
      <c r="Y48" s="34">
        <f>X48-W48</f>
        <v>-124.59999999999991</v>
      </c>
      <c r="Z48" s="213">
        <f>X48/W48</f>
        <v>0.84889643463497466</v>
      </c>
    </row>
    <row r="49" spans="1:27" ht="15" customHeight="1" x14ac:dyDescent="0.25">
      <c r="A49" s="107" t="s">
        <v>68</v>
      </c>
      <c r="B49" s="90"/>
      <c r="C49" s="34">
        <v>10666</v>
      </c>
      <c r="D49" s="27">
        <v>0</v>
      </c>
      <c r="E49" s="26">
        <f t="shared" ref="E49:E50" si="36">SUM(C49:D49)</f>
        <v>10666</v>
      </c>
      <c r="F49" s="26">
        <v>0</v>
      </c>
      <c r="G49" s="26">
        <v>0</v>
      </c>
      <c r="H49" s="28">
        <f t="shared" si="32"/>
        <v>10666</v>
      </c>
      <c r="I49" s="26">
        <v>0</v>
      </c>
      <c r="J49" s="26">
        <f>-115</f>
        <v>-115</v>
      </c>
      <c r="K49" s="29">
        <f t="shared" si="6"/>
        <v>10551</v>
      </c>
      <c r="L49" s="34">
        <v>12526</v>
      </c>
      <c r="M49" s="34">
        <f t="shared" si="33"/>
        <v>1975</v>
      </c>
      <c r="N49" s="35">
        <f t="shared" si="34"/>
        <v>1.1871860487157615</v>
      </c>
      <c r="O49" s="34">
        <f>0-100</f>
        <v>-100</v>
      </c>
      <c r="P49" s="35">
        <f t="shared" si="35"/>
        <v>12426</v>
      </c>
      <c r="Q49" s="34">
        <v>0</v>
      </c>
      <c r="R49" s="35">
        <v>0</v>
      </c>
      <c r="S49" s="34">
        <f t="shared" ref="S49" si="37">SUM(P49:R49)</f>
        <v>12426</v>
      </c>
      <c r="T49" s="34">
        <v>100</v>
      </c>
      <c r="U49" s="34">
        <v>0</v>
      </c>
      <c r="V49" s="26">
        <v>0</v>
      </c>
      <c r="W49" s="29">
        <f t="shared" si="24"/>
        <v>12526</v>
      </c>
      <c r="X49" s="34">
        <v>12655</v>
      </c>
      <c r="Y49" s="34">
        <f t="shared" ref="Y49:Y50" si="38">X49-W49</f>
        <v>129</v>
      </c>
      <c r="Z49" s="213">
        <f t="shared" ref="Z49:Z50" si="39">X49/W49</f>
        <v>1.0102985789557719</v>
      </c>
    </row>
    <row r="50" spans="1:27" ht="15" customHeight="1" thickBot="1" x14ac:dyDescent="0.3">
      <c r="A50" s="108" t="s">
        <v>69</v>
      </c>
      <c r="B50" s="102"/>
      <c r="C50" s="38">
        <v>277629</v>
      </c>
      <c r="D50" s="99">
        <v>0</v>
      </c>
      <c r="E50" s="38">
        <f t="shared" si="36"/>
        <v>277629</v>
      </c>
      <c r="F50" s="38">
        <v>9.9</v>
      </c>
      <c r="G50" s="38">
        <v>0</v>
      </c>
      <c r="H50" s="42">
        <f>SUM(E50:G50)</f>
        <v>277638.90000000002</v>
      </c>
      <c r="I50" s="38">
        <v>10.7</v>
      </c>
      <c r="J50" s="38">
        <v>0</v>
      </c>
      <c r="K50" s="101">
        <f t="shared" si="6"/>
        <v>277649.60000000003</v>
      </c>
      <c r="L50" s="38">
        <v>304503.36</v>
      </c>
      <c r="M50" s="38">
        <f t="shared" si="33"/>
        <v>26853.759999999951</v>
      </c>
      <c r="N50" s="42">
        <f t="shared" si="34"/>
        <v>1.0967181656303482</v>
      </c>
      <c r="O50" s="38">
        <v>0</v>
      </c>
      <c r="P50" s="42">
        <f t="shared" si="35"/>
        <v>304503.36</v>
      </c>
      <c r="Q50" s="38">
        <v>0</v>
      </c>
      <c r="R50" s="42">
        <v>0</v>
      </c>
      <c r="S50" s="38">
        <f>SUM(P50:R50)</f>
        <v>304503.36</v>
      </c>
      <c r="T50" s="38">
        <v>0</v>
      </c>
      <c r="U50" s="38">
        <v>0</v>
      </c>
      <c r="V50" s="40">
        <v>0</v>
      </c>
      <c r="W50" s="194">
        <f t="shared" si="24"/>
        <v>304503.36</v>
      </c>
      <c r="X50" s="38">
        <v>310768</v>
      </c>
      <c r="Y50" s="34">
        <f t="shared" si="38"/>
        <v>6264.640000000014</v>
      </c>
      <c r="Z50" s="213">
        <f t="shared" si="39"/>
        <v>1.0205733033619071</v>
      </c>
    </row>
    <row r="51" spans="1:27" ht="14.25" customHeight="1" thickBot="1" x14ac:dyDescent="0.3">
      <c r="A51" s="82" t="s">
        <v>70</v>
      </c>
      <c r="B51" s="109"/>
      <c r="C51" s="84">
        <f>SUM(C53:C58)</f>
        <v>41816.560000000005</v>
      </c>
      <c r="D51" s="85">
        <f>SUM(D53:D58)</f>
        <v>1363.56</v>
      </c>
      <c r="E51" s="84">
        <f>SUM(C51:D51)</f>
        <v>43180.12</v>
      </c>
      <c r="F51" s="84">
        <f>SUM(F53:F58)</f>
        <v>-16879.07</v>
      </c>
      <c r="G51" s="84">
        <f>SUM(G53:G58)</f>
        <v>-86.61</v>
      </c>
      <c r="H51" s="86">
        <f>SUM(H53:H58)</f>
        <v>26214.440000000002</v>
      </c>
      <c r="I51" s="84">
        <f>SUM(I53:I58)</f>
        <v>-584.34</v>
      </c>
      <c r="J51" s="84">
        <f>SUM(J53:J58)</f>
        <v>0</v>
      </c>
      <c r="K51" s="87">
        <f t="shared" si="6"/>
        <v>25630.100000000002</v>
      </c>
      <c r="L51" s="84">
        <f>SUM(L53:L58)</f>
        <v>62387.56</v>
      </c>
      <c r="M51" s="84">
        <f>SUM(M53:M58)</f>
        <v>36757.460000000006</v>
      </c>
      <c r="N51" s="86">
        <f>L51/K51</f>
        <v>2.4341520321809118</v>
      </c>
      <c r="O51" s="84">
        <f t="shared" ref="O51:T51" si="40">SUM(O53:O58)</f>
        <v>702.56</v>
      </c>
      <c r="P51" s="87">
        <f t="shared" si="40"/>
        <v>63090.119999999995</v>
      </c>
      <c r="Q51" s="84">
        <f t="shared" si="40"/>
        <v>2186.6999999999998</v>
      </c>
      <c r="R51" s="86">
        <f t="shared" si="40"/>
        <v>0</v>
      </c>
      <c r="S51" s="84">
        <f t="shared" si="40"/>
        <v>65276.82</v>
      </c>
      <c r="T51" s="84">
        <f t="shared" si="40"/>
        <v>76.02</v>
      </c>
      <c r="U51" s="84">
        <f>SUM(U53:U58)</f>
        <v>-400</v>
      </c>
      <c r="V51" s="84">
        <f>SUM(V53:V58)</f>
        <v>0</v>
      </c>
      <c r="W51" s="87">
        <f t="shared" si="24"/>
        <v>64952.84</v>
      </c>
      <c r="X51" s="84">
        <f t="shared" ref="X51" si="41">SUM(X53:X58)</f>
        <v>49692.41</v>
      </c>
      <c r="Y51" s="84">
        <f>X51-W51</f>
        <v>-15260.429999999993</v>
      </c>
      <c r="Z51" s="211">
        <f>X51/W51</f>
        <v>0.76505369126276856</v>
      </c>
      <c r="AA51" s="191"/>
    </row>
    <row r="52" spans="1:27" ht="12.75" customHeight="1" x14ac:dyDescent="0.25">
      <c r="A52" s="106" t="s">
        <v>47</v>
      </c>
      <c r="B52" s="103"/>
      <c r="C52" s="26"/>
      <c r="D52" s="27"/>
      <c r="E52" s="26"/>
      <c r="F52" s="26"/>
      <c r="G52" s="26"/>
      <c r="H52" s="28"/>
      <c r="I52" s="26"/>
      <c r="J52" s="26"/>
      <c r="K52" s="29"/>
      <c r="L52" s="26"/>
      <c r="M52" s="26"/>
      <c r="N52" s="28"/>
      <c r="O52" s="26"/>
      <c r="P52" s="28"/>
      <c r="Q52" s="26"/>
      <c r="R52" s="28"/>
      <c r="S52" s="26"/>
      <c r="T52" s="26"/>
      <c r="U52" s="26"/>
      <c r="V52" s="26"/>
      <c r="W52" s="29"/>
      <c r="X52" s="26"/>
      <c r="Y52" s="26"/>
      <c r="Z52" s="203"/>
    </row>
    <row r="53" spans="1:27" ht="17.25" customHeight="1" x14ac:dyDescent="0.25">
      <c r="A53" s="110" t="s">
        <v>71</v>
      </c>
      <c r="B53" s="111"/>
      <c r="C53" s="34">
        <v>0</v>
      </c>
      <c r="D53" s="27">
        <f>20</f>
        <v>20</v>
      </c>
      <c r="E53" s="26">
        <f>SUM(C53:D53)</f>
        <v>20</v>
      </c>
      <c r="F53" s="26">
        <v>0</v>
      </c>
      <c r="G53" s="26">
        <v>0</v>
      </c>
      <c r="H53" s="28">
        <f>SUM(E53:G53)</f>
        <v>20</v>
      </c>
      <c r="I53" s="26">
        <v>0</v>
      </c>
      <c r="J53" s="26">
        <v>0</v>
      </c>
      <c r="K53" s="29">
        <f t="shared" si="6"/>
        <v>20</v>
      </c>
      <c r="L53" s="34">
        <v>0</v>
      </c>
      <c r="M53" s="34">
        <f>L53-K53</f>
        <v>-20</v>
      </c>
      <c r="N53" s="35">
        <f>L53/K53</f>
        <v>0</v>
      </c>
      <c r="O53" s="34">
        <f>0+25</f>
        <v>25</v>
      </c>
      <c r="P53" s="35">
        <f>L53+O53</f>
        <v>25</v>
      </c>
      <c r="Q53" s="34">
        <v>0</v>
      </c>
      <c r="R53" s="35">
        <v>0</v>
      </c>
      <c r="S53" s="34">
        <f>SUM(P53:R53)</f>
        <v>25</v>
      </c>
      <c r="T53" s="34">
        <v>0</v>
      </c>
      <c r="U53" s="34">
        <v>0</v>
      </c>
      <c r="V53" s="26">
        <v>0</v>
      </c>
      <c r="W53" s="29">
        <f t="shared" si="24"/>
        <v>25</v>
      </c>
      <c r="X53" s="34">
        <v>0</v>
      </c>
      <c r="Y53" s="34">
        <f>X53-W53</f>
        <v>-25</v>
      </c>
      <c r="Z53" s="213">
        <f>X53/W53</f>
        <v>0</v>
      </c>
    </row>
    <row r="54" spans="1:27" ht="15" customHeight="1" x14ac:dyDescent="0.25">
      <c r="A54" s="107" t="s">
        <v>72</v>
      </c>
      <c r="B54" s="90" t="s">
        <v>350</v>
      </c>
      <c r="C54" s="34">
        <v>12100</v>
      </c>
      <c r="D54" s="27">
        <v>0</v>
      </c>
      <c r="E54" s="26">
        <f t="shared" ref="E54:E58" si="42">SUM(C54:D54)</f>
        <v>12100</v>
      </c>
      <c r="F54" s="26">
        <v>0</v>
      </c>
      <c r="G54" s="26">
        <v>0</v>
      </c>
      <c r="H54" s="28">
        <f t="shared" ref="H54:H58" si="43">SUM(E54:G54)</f>
        <v>12100</v>
      </c>
      <c r="I54" s="26">
        <v>0</v>
      </c>
      <c r="J54" s="26">
        <v>0</v>
      </c>
      <c r="K54" s="29">
        <f t="shared" si="6"/>
        <v>12100</v>
      </c>
      <c r="L54" s="34">
        <v>25000</v>
      </c>
      <c r="M54" s="34">
        <f t="shared" ref="M54:M56" si="44">L54-K54</f>
        <v>12900</v>
      </c>
      <c r="N54" s="35">
        <f t="shared" ref="N54:N58" si="45">L54/K54</f>
        <v>2.0661157024793386</v>
      </c>
      <c r="O54" s="34">
        <v>0</v>
      </c>
      <c r="P54" s="35">
        <f t="shared" ref="P54:P58" si="46">L54+O54</f>
        <v>25000</v>
      </c>
      <c r="Q54" s="34">
        <v>0</v>
      </c>
      <c r="R54" s="35">
        <v>0</v>
      </c>
      <c r="S54" s="34">
        <f t="shared" ref="S54:S57" si="47">SUM(P54:R54)</f>
        <v>25000</v>
      </c>
      <c r="T54" s="34">
        <v>0</v>
      </c>
      <c r="U54" s="34">
        <v>0</v>
      </c>
      <c r="V54" s="26">
        <v>0</v>
      </c>
      <c r="W54" s="29">
        <f t="shared" si="24"/>
        <v>25000</v>
      </c>
      <c r="X54" s="34">
        <v>20000</v>
      </c>
      <c r="Y54" s="34">
        <f t="shared" ref="Y54:Y57" si="48">X54-W54</f>
        <v>-5000</v>
      </c>
      <c r="Z54" s="213">
        <f>X54/W54</f>
        <v>0.8</v>
      </c>
    </row>
    <row r="55" spans="1:27" ht="15" customHeight="1" x14ac:dyDescent="0.25">
      <c r="A55" s="107" t="s">
        <v>73</v>
      </c>
      <c r="B55" s="90"/>
      <c r="C55" s="34">
        <v>26353.66</v>
      </c>
      <c r="D55" s="27">
        <v>0</v>
      </c>
      <c r="E55" s="26">
        <f t="shared" si="42"/>
        <v>26353.66</v>
      </c>
      <c r="F55" s="26">
        <f>-7607.07-1000-700-9000</f>
        <v>-18307.07</v>
      </c>
      <c r="G55" s="26">
        <v>0</v>
      </c>
      <c r="H55" s="28">
        <f t="shared" si="43"/>
        <v>8046.59</v>
      </c>
      <c r="I55" s="26">
        <v>-584.34</v>
      </c>
      <c r="J55" s="26">
        <v>0</v>
      </c>
      <c r="K55" s="29">
        <f t="shared" si="6"/>
        <v>7462.25</v>
      </c>
      <c r="L55" s="34">
        <v>5071.5600000000004</v>
      </c>
      <c r="M55" s="34">
        <f t="shared" si="44"/>
        <v>-2390.6899999999996</v>
      </c>
      <c r="N55" s="35">
        <f t="shared" si="45"/>
        <v>0.67962879828469969</v>
      </c>
      <c r="O55" s="34">
        <v>0</v>
      </c>
      <c r="P55" s="35">
        <f t="shared" si="46"/>
        <v>5071.5600000000004</v>
      </c>
      <c r="Q55" s="34">
        <v>76.09</v>
      </c>
      <c r="R55" s="35">
        <v>0</v>
      </c>
      <c r="S55" s="34">
        <f t="shared" si="47"/>
        <v>5147.6500000000005</v>
      </c>
      <c r="T55" s="34">
        <v>76.02</v>
      </c>
      <c r="U55" s="34">
        <f>-400</f>
        <v>-400</v>
      </c>
      <c r="V55" s="26">
        <v>0</v>
      </c>
      <c r="W55" s="29">
        <f t="shared" si="24"/>
        <v>4823.670000000001</v>
      </c>
      <c r="X55" s="34">
        <v>3215.41</v>
      </c>
      <c r="Y55" s="34">
        <f t="shared" si="48"/>
        <v>-1608.2600000000011</v>
      </c>
      <c r="Z55" s="213">
        <f t="shared" ref="Z55:Z58" si="49">X55/W55</f>
        <v>0.66658996158526584</v>
      </c>
    </row>
    <row r="56" spans="1:27" ht="15" customHeight="1" x14ac:dyDescent="0.25">
      <c r="A56" s="107" t="s">
        <v>74</v>
      </c>
      <c r="B56" s="90"/>
      <c r="C56" s="34">
        <v>200</v>
      </c>
      <c r="D56" s="27">
        <v>0</v>
      </c>
      <c r="E56" s="26">
        <f t="shared" si="42"/>
        <v>200</v>
      </c>
      <c r="F56" s="26">
        <v>0</v>
      </c>
      <c r="G56" s="26">
        <v>0</v>
      </c>
      <c r="H56" s="28">
        <f t="shared" si="43"/>
        <v>200</v>
      </c>
      <c r="I56" s="26">
        <v>0</v>
      </c>
      <c r="J56" s="26">
        <v>0</v>
      </c>
      <c r="K56" s="29">
        <f t="shared" si="6"/>
        <v>200</v>
      </c>
      <c r="L56" s="34">
        <v>200</v>
      </c>
      <c r="M56" s="34">
        <f t="shared" si="44"/>
        <v>0</v>
      </c>
      <c r="N56" s="35">
        <f t="shared" si="45"/>
        <v>1</v>
      </c>
      <c r="O56" s="34">
        <v>0</v>
      </c>
      <c r="P56" s="35">
        <f t="shared" si="46"/>
        <v>200</v>
      </c>
      <c r="Q56" s="34">
        <v>0</v>
      </c>
      <c r="R56" s="35">
        <v>0</v>
      </c>
      <c r="S56" s="34">
        <f t="shared" si="47"/>
        <v>200</v>
      </c>
      <c r="T56" s="34">
        <v>0</v>
      </c>
      <c r="U56" s="34">
        <v>0</v>
      </c>
      <c r="V56" s="26">
        <v>0</v>
      </c>
      <c r="W56" s="29">
        <f t="shared" si="24"/>
        <v>200</v>
      </c>
      <c r="X56" s="34">
        <v>200</v>
      </c>
      <c r="Y56" s="34">
        <f t="shared" si="48"/>
        <v>0</v>
      </c>
      <c r="Z56" s="213">
        <f t="shared" si="49"/>
        <v>1</v>
      </c>
    </row>
    <row r="57" spans="1:27" ht="15" customHeight="1" x14ac:dyDescent="0.25">
      <c r="A57" s="107" t="s">
        <v>373</v>
      </c>
      <c r="B57" s="90"/>
      <c r="C57" s="34"/>
      <c r="D57" s="91"/>
      <c r="E57" s="34"/>
      <c r="F57" s="34"/>
      <c r="G57" s="34"/>
      <c r="H57" s="35"/>
      <c r="I57" s="34"/>
      <c r="J57" s="34"/>
      <c r="K57" s="93"/>
      <c r="L57" s="34">
        <v>0</v>
      </c>
      <c r="M57" s="34"/>
      <c r="N57" s="35"/>
      <c r="O57" s="34"/>
      <c r="P57" s="35">
        <v>0</v>
      </c>
      <c r="Q57" s="34">
        <v>1000</v>
      </c>
      <c r="R57" s="35">
        <v>0</v>
      </c>
      <c r="S57" s="34">
        <f t="shared" si="47"/>
        <v>1000</v>
      </c>
      <c r="T57" s="34">
        <v>0</v>
      </c>
      <c r="U57" s="34">
        <v>0</v>
      </c>
      <c r="V57" s="34">
        <v>0</v>
      </c>
      <c r="W57" s="93">
        <f t="shared" si="24"/>
        <v>1000</v>
      </c>
      <c r="X57" s="34">
        <v>2000</v>
      </c>
      <c r="Y57" s="34">
        <f t="shared" si="48"/>
        <v>1000</v>
      </c>
      <c r="Z57" s="213">
        <f t="shared" si="49"/>
        <v>2</v>
      </c>
    </row>
    <row r="58" spans="1:27" ht="15.75" customHeight="1" thickBot="1" x14ac:dyDescent="0.3">
      <c r="A58" s="108" t="s">
        <v>75</v>
      </c>
      <c r="B58" s="102"/>
      <c r="C58" s="38">
        <v>3162.9</v>
      </c>
      <c r="D58" s="99">
        <f>17.84+228.77+1116.95-20</f>
        <v>1343.56</v>
      </c>
      <c r="E58" s="38">
        <f t="shared" si="42"/>
        <v>4506.46</v>
      </c>
      <c r="F58" s="38">
        <v>1428</v>
      </c>
      <c r="G58" s="38">
        <f>-86.61</f>
        <v>-86.61</v>
      </c>
      <c r="H58" s="38">
        <f t="shared" si="43"/>
        <v>5847.85</v>
      </c>
      <c r="I58" s="38">
        <v>0</v>
      </c>
      <c r="J58" s="38">
        <v>0</v>
      </c>
      <c r="K58" s="101">
        <f t="shared" si="6"/>
        <v>5847.85</v>
      </c>
      <c r="L58" s="38">
        <v>32116</v>
      </c>
      <c r="M58" s="38">
        <f>L58-K58</f>
        <v>26268.15</v>
      </c>
      <c r="N58" s="42">
        <f t="shared" si="45"/>
        <v>5.49193293261626</v>
      </c>
      <c r="O58" s="38">
        <f>702.56-25</f>
        <v>677.56</v>
      </c>
      <c r="P58" s="42">
        <f t="shared" si="46"/>
        <v>32793.56</v>
      </c>
      <c r="Q58" s="38">
        <v>1110.6099999999999</v>
      </c>
      <c r="R58" s="42">
        <v>0</v>
      </c>
      <c r="S58" s="38">
        <f>SUM(P58:R58)</f>
        <v>33904.17</v>
      </c>
      <c r="T58" s="38">
        <v>0</v>
      </c>
      <c r="U58" s="38">
        <v>0</v>
      </c>
      <c r="V58" s="38">
        <v>0</v>
      </c>
      <c r="W58" s="194">
        <f t="shared" si="24"/>
        <v>33904.17</v>
      </c>
      <c r="X58" s="38">
        <v>24277</v>
      </c>
      <c r="Y58" s="34">
        <f>X58-W58</f>
        <v>-9627.1699999999983</v>
      </c>
      <c r="Z58" s="213">
        <f t="shared" si="49"/>
        <v>0.71604761302223296</v>
      </c>
    </row>
    <row r="59" spans="1:27" ht="14.25" customHeight="1" thickBot="1" x14ac:dyDescent="0.3">
      <c r="A59" s="82" t="s">
        <v>76</v>
      </c>
      <c r="B59" s="105"/>
      <c r="C59" s="84">
        <f>SUM(C61:C64)</f>
        <v>121341.05</v>
      </c>
      <c r="D59" s="85">
        <f>SUM(D61:D64)</f>
        <v>-7463.3</v>
      </c>
      <c r="E59" s="84">
        <f>SUM(C59:D59)</f>
        <v>113877.75</v>
      </c>
      <c r="F59" s="84">
        <f>SUM(F61:F64)</f>
        <v>4735.78</v>
      </c>
      <c r="G59" s="84">
        <f>SUM(G61:G64)</f>
        <v>-4242.83</v>
      </c>
      <c r="H59" s="86">
        <f>SUM(H61:H64)</f>
        <v>114279.75999999998</v>
      </c>
      <c r="I59" s="84">
        <f>SUM(I61:I64)</f>
        <v>5118.1000000000004</v>
      </c>
      <c r="J59" s="84">
        <f>SUM(J61:J64)</f>
        <v>2086.4</v>
      </c>
      <c r="K59" s="87">
        <f t="shared" si="6"/>
        <v>121484.25999999998</v>
      </c>
      <c r="L59" s="84">
        <f>SUM(L61:L64)</f>
        <v>144983.1</v>
      </c>
      <c r="M59" s="84">
        <f>SUM(M61:M64)</f>
        <v>23498.840000000011</v>
      </c>
      <c r="N59" s="86">
        <f>L59/K59</f>
        <v>1.1934311490229272</v>
      </c>
      <c r="O59" s="84">
        <f t="shared" ref="O59:S59" si="50">SUM(O61:O64)</f>
        <v>-7681.84</v>
      </c>
      <c r="P59" s="87">
        <f t="shared" si="50"/>
        <v>136747.26</v>
      </c>
      <c r="Q59" s="84">
        <f t="shared" si="50"/>
        <v>3528.7200000000003</v>
      </c>
      <c r="R59" s="86">
        <f t="shared" si="50"/>
        <v>661.55000000000007</v>
      </c>
      <c r="S59" s="84">
        <f t="shared" si="50"/>
        <v>139743.53</v>
      </c>
      <c r="T59" s="84">
        <f>SUM(T61:T64)</f>
        <v>12034</v>
      </c>
      <c r="U59" s="84">
        <f>SUM(U61:U64)</f>
        <v>0</v>
      </c>
      <c r="V59" s="84">
        <f>SUM(V61:V64)</f>
        <v>-1103.42</v>
      </c>
      <c r="W59" s="87">
        <f t="shared" si="24"/>
        <v>150674.10999999999</v>
      </c>
      <c r="X59" s="84">
        <f t="shared" ref="X59" si="51">SUM(X61:X64)</f>
        <v>154593.59</v>
      </c>
      <c r="Y59" s="84">
        <f>X59-W59</f>
        <v>3919.4800000000105</v>
      </c>
      <c r="Z59" s="211"/>
      <c r="AA59" s="191"/>
    </row>
    <row r="60" spans="1:27" ht="12.75" customHeight="1" x14ac:dyDescent="0.25">
      <c r="A60" s="106" t="s">
        <v>47</v>
      </c>
      <c r="B60" s="103"/>
      <c r="C60" s="26"/>
      <c r="D60" s="27"/>
      <c r="E60" s="26"/>
      <c r="F60" s="26"/>
      <c r="G60" s="26"/>
      <c r="H60" s="28"/>
      <c r="I60" s="26"/>
      <c r="J60" s="26"/>
      <c r="K60" s="29"/>
      <c r="L60" s="26"/>
      <c r="M60" s="26"/>
      <c r="N60" s="28"/>
      <c r="O60" s="26"/>
      <c r="P60" s="28"/>
      <c r="Q60" s="26"/>
      <c r="R60" s="28"/>
      <c r="S60" s="26"/>
      <c r="T60" s="26"/>
      <c r="U60" s="26"/>
      <c r="V60" s="26"/>
      <c r="W60" s="29"/>
      <c r="X60" s="26"/>
      <c r="Y60" s="26"/>
      <c r="Z60" s="203"/>
    </row>
    <row r="61" spans="1:27" ht="27" customHeight="1" x14ac:dyDescent="0.25">
      <c r="A61" s="106" t="s">
        <v>77</v>
      </c>
      <c r="B61" s="103"/>
      <c r="C61" s="34">
        <v>0</v>
      </c>
      <c r="D61" s="27">
        <v>0</v>
      </c>
      <c r="E61" s="59">
        <f>SUM(C61:D61)</f>
        <v>0</v>
      </c>
      <c r="F61" s="59">
        <v>0</v>
      </c>
      <c r="G61" s="59">
        <v>0</v>
      </c>
      <c r="H61" s="60">
        <f>SUM(E61:G61)</f>
        <v>0</v>
      </c>
      <c r="I61" s="59">
        <v>0</v>
      </c>
      <c r="J61" s="59">
        <f>259+250-250</f>
        <v>259</v>
      </c>
      <c r="K61" s="29">
        <f t="shared" si="6"/>
        <v>259</v>
      </c>
      <c r="L61" s="34">
        <v>0</v>
      </c>
      <c r="M61" s="34">
        <f>L61-K61</f>
        <v>-259</v>
      </c>
      <c r="N61" s="35">
        <f>L61/K61</f>
        <v>0</v>
      </c>
      <c r="O61" s="34">
        <v>0</v>
      </c>
      <c r="P61" s="35">
        <f>L61+O61</f>
        <v>0</v>
      </c>
      <c r="Q61" s="34">
        <v>0</v>
      </c>
      <c r="R61" s="35">
        <v>0</v>
      </c>
      <c r="S61" s="34">
        <f>SUM(P61:R61)</f>
        <v>0</v>
      </c>
      <c r="T61" s="34">
        <v>0</v>
      </c>
      <c r="U61" s="34">
        <v>0</v>
      </c>
      <c r="V61" s="26">
        <v>0</v>
      </c>
      <c r="W61" s="29">
        <f t="shared" si="24"/>
        <v>0</v>
      </c>
      <c r="X61" s="57" t="s">
        <v>263</v>
      </c>
      <c r="Y61" s="57" t="s">
        <v>263</v>
      </c>
      <c r="Z61" s="212" t="s">
        <v>263</v>
      </c>
    </row>
    <row r="62" spans="1:27" ht="15" customHeight="1" x14ac:dyDescent="0.25">
      <c r="A62" s="107" t="s">
        <v>67</v>
      </c>
      <c r="B62" s="90"/>
      <c r="C62" s="34">
        <v>50245.05</v>
      </c>
      <c r="D62" s="27">
        <f>-6934-429.3</f>
        <v>-7363.3</v>
      </c>
      <c r="E62" s="59">
        <f t="shared" ref="E62:E64" si="52">SUM(C62:D62)</f>
        <v>42881.75</v>
      </c>
      <c r="F62" s="59">
        <v>4573.38</v>
      </c>
      <c r="G62" s="59">
        <f>-196.83-4000</f>
        <v>-4196.83</v>
      </c>
      <c r="H62" s="60">
        <f>SUM(E62:G62)-112.94</f>
        <v>43145.359999999993</v>
      </c>
      <c r="I62" s="59">
        <v>5118.1000000000004</v>
      </c>
      <c r="J62" s="59">
        <f>277.4-1655+2955</f>
        <v>1577.4</v>
      </c>
      <c r="K62" s="29">
        <f t="shared" si="6"/>
        <v>49840.859999999993</v>
      </c>
      <c r="L62" s="34">
        <v>57173.1</v>
      </c>
      <c r="M62" s="34">
        <f t="shared" ref="M62:M64" si="53">L62-K62</f>
        <v>7332.2400000000052</v>
      </c>
      <c r="N62" s="35">
        <f>L62/K62</f>
        <v>1.1471130313562006</v>
      </c>
      <c r="O62" s="34">
        <f>-6186.71-92.75-1714</f>
        <v>-7993.46</v>
      </c>
      <c r="P62" s="35">
        <f>L62+O62-179</f>
        <v>49000.639999999999</v>
      </c>
      <c r="Q62" s="34">
        <v>5034.67</v>
      </c>
      <c r="R62" s="35">
        <f>-55.13+988.97-1700+476</f>
        <v>-290.15999999999997</v>
      </c>
      <c r="S62" s="34">
        <f>SUM(P62:R62)-1886.77</f>
        <v>51858.38</v>
      </c>
      <c r="T62" s="34">
        <v>10925</v>
      </c>
      <c r="U62" s="34">
        <v>0</v>
      </c>
      <c r="V62" s="26">
        <f>-306.01-1893.71-111.1</f>
        <v>-2310.8200000000002</v>
      </c>
      <c r="W62" s="29">
        <f t="shared" si="24"/>
        <v>60472.56</v>
      </c>
      <c r="X62" s="34">
        <v>61129.09</v>
      </c>
      <c r="Y62" s="34">
        <f>X62-W62</f>
        <v>656.52999999999884</v>
      </c>
      <c r="Z62" s="213">
        <f>X62/W62</f>
        <v>1.0108566596155346</v>
      </c>
    </row>
    <row r="63" spans="1:27" ht="39" customHeight="1" x14ac:dyDescent="0.25">
      <c r="A63" s="32" t="s">
        <v>78</v>
      </c>
      <c r="B63" s="90"/>
      <c r="C63" s="34">
        <v>0</v>
      </c>
      <c r="D63" s="91"/>
      <c r="E63" s="57"/>
      <c r="F63" s="57"/>
      <c r="G63" s="57"/>
      <c r="H63" s="92"/>
      <c r="I63" s="57"/>
      <c r="J63" s="57"/>
      <c r="K63" s="34">
        <v>0</v>
      </c>
      <c r="L63" s="34">
        <v>2450</v>
      </c>
      <c r="M63" s="34">
        <f t="shared" si="53"/>
        <v>2450</v>
      </c>
      <c r="N63" s="92" t="s">
        <v>39</v>
      </c>
      <c r="O63" s="57">
        <v>0</v>
      </c>
      <c r="P63" s="35">
        <f t="shared" ref="P63" si="54">L63+O63</f>
        <v>2450</v>
      </c>
      <c r="Q63" s="57">
        <v>-2450</v>
      </c>
      <c r="R63" s="92">
        <v>0</v>
      </c>
      <c r="S63" s="34">
        <f>SUM(P63:R63)</f>
        <v>0</v>
      </c>
      <c r="T63" s="34">
        <v>0</v>
      </c>
      <c r="U63" s="34">
        <v>0</v>
      </c>
      <c r="V63" s="26">
        <v>0</v>
      </c>
      <c r="W63" s="29">
        <f t="shared" si="24"/>
        <v>0</v>
      </c>
      <c r="X63" s="34">
        <v>0</v>
      </c>
      <c r="Y63" s="34">
        <f t="shared" ref="Y63:Y64" si="55">X63-W63</f>
        <v>0</v>
      </c>
      <c r="Z63" s="212" t="s">
        <v>263</v>
      </c>
    </row>
    <row r="64" spans="1:27" ht="17.25" customHeight="1" thickBot="1" x14ac:dyDescent="0.3">
      <c r="A64" s="108" t="s">
        <v>79</v>
      </c>
      <c r="B64" s="102"/>
      <c r="C64" s="38">
        <v>71096</v>
      </c>
      <c r="D64" s="99">
        <f>-100</f>
        <v>-100</v>
      </c>
      <c r="E64" s="62">
        <f t="shared" si="52"/>
        <v>70996</v>
      </c>
      <c r="F64" s="62">
        <v>162.4</v>
      </c>
      <c r="G64" s="62">
        <f>-46</f>
        <v>-46</v>
      </c>
      <c r="H64" s="100">
        <f>SUM(E64:G64)+22</f>
        <v>71134.399999999994</v>
      </c>
      <c r="I64" s="62">
        <v>0</v>
      </c>
      <c r="J64" s="62">
        <f>307-57</f>
        <v>250</v>
      </c>
      <c r="K64" s="194">
        <f t="shared" si="6"/>
        <v>71384.399999999994</v>
      </c>
      <c r="L64" s="38">
        <v>85360</v>
      </c>
      <c r="M64" s="38">
        <f t="shared" si="53"/>
        <v>13975.600000000006</v>
      </c>
      <c r="N64" s="42">
        <f t="shared" ref="N64" si="56">L64/K64</f>
        <v>1.195779470024263</v>
      </c>
      <c r="O64" s="38">
        <f>-157.66+94.28+375</f>
        <v>311.62</v>
      </c>
      <c r="P64" s="42">
        <f>L64+O64-375</f>
        <v>85296.62</v>
      </c>
      <c r="Q64" s="38">
        <v>944.05</v>
      </c>
      <c r="R64" s="42">
        <f>894.5+57.21</f>
        <v>951.71</v>
      </c>
      <c r="S64" s="38">
        <f>SUM(P64:R64)+692.77</f>
        <v>87885.150000000009</v>
      </c>
      <c r="T64" s="38">
        <v>1109</v>
      </c>
      <c r="U64" s="38">
        <v>0</v>
      </c>
      <c r="V64" s="40">
        <f>715+492.4</f>
        <v>1207.4000000000001</v>
      </c>
      <c r="W64" s="194">
        <f t="shared" si="24"/>
        <v>90201.55</v>
      </c>
      <c r="X64" s="38">
        <v>93464.5</v>
      </c>
      <c r="Y64" s="34">
        <f t="shared" si="55"/>
        <v>3262.9499999999971</v>
      </c>
      <c r="Z64" s="213">
        <f t="shared" ref="Z64" si="57">X64/W64</f>
        <v>1.0361739903582587</v>
      </c>
    </row>
    <row r="65" spans="1:27" ht="16.350000000000001" customHeight="1" thickBot="1" x14ac:dyDescent="0.3">
      <c r="A65" s="82" t="s">
        <v>80</v>
      </c>
      <c r="B65" s="109"/>
      <c r="C65" s="84">
        <f>SUM(C67:C69)</f>
        <v>1563.42</v>
      </c>
      <c r="D65" s="85">
        <f>SUM(D67:D69)</f>
        <v>0</v>
      </c>
      <c r="E65" s="84">
        <f>SUM(C65:D65)</f>
        <v>1563.42</v>
      </c>
      <c r="F65" s="84">
        <f>SUM(F67:F69)</f>
        <v>250</v>
      </c>
      <c r="G65" s="84">
        <f>SUM(G67:G69)</f>
        <v>0</v>
      </c>
      <c r="H65" s="86">
        <f>SUM(H67:H69)</f>
        <v>1813.42</v>
      </c>
      <c r="I65" s="84">
        <f>SUM(I67:I69)</f>
        <v>0</v>
      </c>
      <c r="J65" s="84">
        <f>SUM(J67:J69)</f>
        <v>0</v>
      </c>
      <c r="K65" s="87">
        <f t="shared" si="6"/>
        <v>1813.42</v>
      </c>
      <c r="L65" s="84">
        <f t="shared" ref="L65" si="58">SUM(L67:L69)</f>
        <v>1825.0500000000002</v>
      </c>
      <c r="M65" s="84">
        <f>SUM(M67:M69)</f>
        <v>11.630000000000031</v>
      </c>
      <c r="N65" s="86">
        <f>L65/K65</f>
        <v>1.0064132964233328</v>
      </c>
      <c r="O65" s="84">
        <f t="shared" ref="O65:T65" si="59">SUM(O67:O69)</f>
        <v>0</v>
      </c>
      <c r="P65" s="87">
        <f t="shared" si="59"/>
        <v>1825.0500000000002</v>
      </c>
      <c r="Q65" s="84">
        <f t="shared" si="59"/>
        <v>750</v>
      </c>
      <c r="R65" s="86">
        <f t="shared" si="59"/>
        <v>0</v>
      </c>
      <c r="S65" s="84">
        <f t="shared" si="59"/>
        <v>2575.0500000000002</v>
      </c>
      <c r="T65" s="84">
        <f t="shared" si="59"/>
        <v>0</v>
      </c>
      <c r="U65" s="84">
        <f>SUM(U67:U69)</f>
        <v>0</v>
      </c>
      <c r="V65" s="84">
        <f>SUM(V67:V69)</f>
        <v>0</v>
      </c>
      <c r="W65" s="87">
        <f t="shared" si="24"/>
        <v>2575.0500000000002</v>
      </c>
      <c r="X65" s="84">
        <f t="shared" ref="X65" si="60">SUM(X67:X69)</f>
        <v>2282.77</v>
      </c>
      <c r="Y65" s="84">
        <f>X65-W65</f>
        <v>-292.2800000000002</v>
      </c>
      <c r="Z65" s="211">
        <f>X65/W65</f>
        <v>0.8864954078561581</v>
      </c>
      <c r="AA65" s="191"/>
    </row>
    <row r="66" spans="1:27" ht="13.5" customHeight="1" x14ac:dyDescent="0.25">
      <c r="A66" s="112" t="s">
        <v>47</v>
      </c>
      <c r="B66" s="103"/>
      <c r="C66" s="26"/>
      <c r="D66" s="27"/>
      <c r="E66" s="26"/>
      <c r="F66" s="26"/>
      <c r="G66" s="26"/>
      <c r="H66" s="28"/>
      <c r="I66" s="26"/>
      <c r="J66" s="26"/>
      <c r="K66" s="29"/>
      <c r="L66" s="26"/>
      <c r="M66" s="26"/>
      <c r="N66" s="28"/>
      <c r="O66" s="26"/>
      <c r="P66" s="28"/>
      <c r="Q66" s="26"/>
      <c r="R66" s="28"/>
      <c r="S66" s="26"/>
      <c r="T66" s="26"/>
      <c r="U66" s="26"/>
      <c r="V66" s="26"/>
      <c r="W66" s="29"/>
      <c r="X66" s="26"/>
      <c r="Y66" s="26"/>
      <c r="Z66" s="203"/>
    </row>
    <row r="67" spans="1:27" ht="24.75" customHeight="1" x14ac:dyDescent="0.25">
      <c r="A67" s="32" t="s">
        <v>81</v>
      </c>
      <c r="B67" s="113" t="s">
        <v>351</v>
      </c>
      <c r="C67" s="34">
        <v>15</v>
      </c>
      <c r="D67" s="27">
        <v>0</v>
      </c>
      <c r="E67" s="26">
        <f>SUM(C67:D67)</f>
        <v>15</v>
      </c>
      <c r="F67" s="26">
        <v>0</v>
      </c>
      <c r="G67" s="26">
        <v>0</v>
      </c>
      <c r="H67" s="28">
        <f>SUM(E67:G67)</f>
        <v>15</v>
      </c>
      <c r="I67" s="26">
        <v>0</v>
      </c>
      <c r="J67" s="26">
        <v>0</v>
      </c>
      <c r="K67" s="29">
        <f t="shared" si="6"/>
        <v>15</v>
      </c>
      <c r="L67" s="34">
        <v>15</v>
      </c>
      <c r="M67" s="34">
        <f>L67-K67</f>
        <v>0</v>
      </c>
      <c r="N67" s="35">
        <f>L67/K67</f>
        <v>1</v>
      </c>
      <c r="O67" s="34">
        <v>0</v>
      </c>
      <c r="P67" s="35">
        <f>L67+O67</f>
        <v>15</v>
      </c>
      <c r="Q67" s="34">
        <v>0</v>
      </c>
      <c r="R67" s="35">
        <v>0</v>
      </c>
      <c r="S67" s="34">
        <f>SUM(P67:R67)</f>
        <v>15</v>
      </c>
      <c r="T67" s="34">
        <v>0</v>
      </c>
      <c r="U67" s="34">
        <v>0</v>
      </c>
      <c r="V67" s="26">
        <v>0</v>
      </c>
      <c r="W67" s="29">
        <f t="shared" si="24"/>
        <v>15</v>
      </c>
      <c r="X67" s="34">
        <v>15</v>
      </c>
      <c r="Y67" s="34">
        <f>X67-W67</f>
        <v>0</v>
      </c>
      <c r="Z67" s="213">
        <f>X67/W67</f>
        <v>1</v>
      </c>
    </row>
    <row r="68" spans="1:27" ht="15" customHeight="1" x14ac:dyDescent="0.25">
      <c r="A68" s="114" t="s">
        <v>67</v>
      </c>
      <c r="B68" s="90"/>
      <c r="C68" s="34">
        <v>56.7</v>
      </c>
      <c r="D68" s="91">
        <v>0</v>
      </c>
      <c r="E68" s="34">
        <f t="shared" ref="E68:E69" si="61">SUM(C68:D68)</f>
        <v>56.7</v>
      </c>
      <c r="F68" s="34">
        <v>0</v>
      </c>
      <c r="G68" s="34">
        <v>0</v>
      </c>
      <c r="H68" s="35">
        <f t="shared" ref="H68:H69" si="62">SUM(E68:G68)</f>
        <v>56.7</v>
      </c>
      <c r="I68" s="34">
        <v>0</v>
      </c>
      <c r="J68" s="34">
        <v>0</v>
      </c>
      <c r="K68" s="93">
        <f t="shared" si="6"/>
        <v>56.7</v>
      </c>
      <c r="L68" s="34">
        <v>62.37</v>
      </c>
      <c r="M68" s="34">
        <f t="shared" ref="M68:M69" si="63">L68-K68</f>
        <v>5.6699999999999946</v>
      </c>
      <c r="N68" s="35">
        <f>L68/K68</f>
        <v>1.0999999999999999</v>
      </c>
      <c r="O68" s="34">
        <v>0</v>
      </c>
      <c r="P68" s="35">
        <f t="shared" ref="P68:P69" si="64">L68+O68</f>
        <v>62.37</v>
      </c>
      <c r="Q68" s="34">
        <v>0</v>
      </c>
      <c r="R68" s="35">
        <v>0</v>
      </c>
      <c r="S68" s="34">
        <f t="shared" ref="S68:S69" si="65">SUM(P68:R68)</f>
        <v>62.37</v>
      </c>
      <c r="T68" s="34">
        <v>0</v>
      </c>
      <c r="U68" s="34">
        <v>0</v>
      </c>
      <c r="V68" s="26">
        <v>0</v>
      </c>
      <c r="W68" s="29">
        <f t="shared" si="24"/>
        <v>62.37</v>
      </c>
      <c r="X68" s="34">
        <v>64.12</v>
      </c>
      <c r="Y68" s="34">
        <f t="shared" ref="Y68:Y69" si="66">X68-W68</f>
        <v>1.7500000000000071</v>
      </c>
      <c r="Z68" s="213">
        <f t="shared" ref="Z68:Z69" si="67">X68/W68</f>
        <v>1.0280583613916949</v>
      </c>
    </row>
    <row r="69" spans="1:27" ht="15" customHeight="1" thickBot="1" x14ac:dyDescent="0.3">
      <c r="A69" s="115" t="s">
        <v>82</v>
      </c>
      <c r="B69" s="102"/>
      <c r="C69" s="38">
        <v>1491.72</v>
      </c>
      <c r="D69" s="99">
        <v>0</v>
      </c>
      <c r="E69" s="38">
        <f t="shared" si="61"/>
        <v>1491.72</v>
      </c>
      <c r="F69" s="38">
        <v>250</v>
      </c>
      <c r="G69" s="38">
        <v>0</v>
      </c>
      <c r="H69" s="42">
        <f t="shared" si="62"/>
        <v>1741.72</v>
      </c>
      <c r="I69" s="38">
        <v>0</v>
      </c>
      <c r="J69" s="38">
        <v>0</v>
      </c>
      <c r="K69" s="101">
        <f t="shared" si="6"/>
        <v>1741.72</v>
      </c>
      <c r="L69" s="38">
        <v>1747.68</v>
      </c>
      <c r="M69" s="38">
        <f t="shared" si="63"/>
        <v>5.9600000000000364</v>
      </c>
      <c r="N69" s="42">
        <f>L69/K69</f>
        <v>1.0034219047837769</v>
      </c>
      <c r="O69" s="38">
        <v>0</v>
      </c>
      <c r="P69" s="42">
        <f t="shared" si="64"/>
        <v>1747.68</v>
      </c>
      <c r="Q69" s="38">
        <v>750</v>
      </c>
      <c r="R69" s="42">
        <v>0</v>
      </c>
      <c r="S69" s="38">
        <f t="shared" si="65"/>
        <v>2497.6800000000003</v>
      </c>
      <c r="T69" s="38">
        <v>0</v>
      </c>
      <c r="U69" s="38">
        <v>0</v>
      </c>
      <c r="V69" s="40">
        <v>0</v>
      </c>
      <c r="W69" s="194">
        <f t="shared" si="24"/>
        <v>2497.6800000000003</v>
      </c>
      <c r="X69" s="38">
        <v>2203.65</v>
      </c>
      <c r="Y69" s="34">
        <f t="shared" si="66"/>
        <v>-294.0300000000002</v>
      </c>
      <c r="Z69" s="213">
        <f t="shared" si="67"/>
        <v>0.88227875468434702</v>
      </c>
    </row>
    <row r="70" spans="1:27" ht="16.350000000000001" customHeight="1" thickBot="1" x14ac:dyDescent="0.3">
      <c r="A70" s="116" t="s">
        <v>83</v>
      </c>
      <c r="B70" s="109"/>
      <c r="C70" s="84">
        <f>SUM(C72:C153)</f>
        <v>197920</v>
      </c>
      <c r="D70" s="85">
        <f>SUM(D72:D153)</f>
        <v>-430</v>
      </c>
      <c r="E70" s="84">
        <f>SUM(C70:D70)</f>
        <v>197490</v>
      </c>
      <c r="F70" s="84">
        <f>SUM(F72:F153)</f>
        <v>3092</v>
      </c>
      <c r="G70" s="84">
        <f>SUM(G72:G153)</f>
        <v>-1494.17</v>
      </c>
      <c r="H70" s="86">
        <f>SUM(H72:H153)</f>
        <v>199182</v>
      </c>
      <c r="I70" s="84">
        <f>SUM(I72:I153)</f>
        <v>1480.81</v>
      </c>
      <c r="J70" s="84">
        <f>SUM(J72:J153)</f>
        <v>-32</v>
      </c>
      <c r="K70" s="87">
        <f t="shared" si="6"/>
        <v>200630.81</v>
      </c>
      <c r="L70" s="84">
        <f>SUM(L72:L153)</f>
        <v>303512.67000000004</v>
      </c>
      <c r="M70" s="84">
        <f>SUM(M72:M153)</f>
        <v>102881.86000000002</v>
      </c>
      <c r="N70" s="86">
        <f>L70/K70</f>
        <v>1.512791928617544</v>
      </c>
      <c r="O70" s="84">
        <f t="shared" ref="O70:V70" si="68">SUM(O72:O153)</f>
        <v>4559.99</v>
      </c>
      <c r="P70" s="87">
        <f t="shared" si="68"/>
        <v>308072.66000000003</v>
      </c>
      <c r="Q70" s="84">
        <f t="shared" si="68"/>
        <v>8794</v>
      </c>
      <c r="R70" s="86">
        <f t="shared" si="68"/>
        <v>10262.329999999998</v>
      </c>
      <c r="S70" s="84">
        <f t="shared" si="68"/>
        <v>327231.74</v>
      </c>
      <c r="T70" s="84">
        <f t="shared" si="68"/>
        <v>-4150.3500000000004</v>
      </c>
      <c r="U70" s="84">
        <f t="shared" si="68"/>
        <v>0</v>
      </c>
      <c r="V70" s="84">
        <f t="shared" si="68"/>
        <v>8655.2499999999982</v>
      </c>
      <c r="W70" s="87">
        <f t="shared" si="24"/>
        <v>331736.64</v>
      </c>
      <c r="X70" s="84">
        <f>SUM(X72:X153)</f>
        <v>314663.33999999997</v>
      </c>
      <c r="Y70" s="84">
        <f>X70-W70</f>
        <v>-17073.300000000047</v>
      </c>
      <c r="Z70" s="211">
        <f>X70/W70</f>
        <v>0.94853357169108587</v>
      </c>
      <c r="AA70" s="191"/>
    </row>
    <row r="71" spans="1:27" ht="12.75" customHeight="1" x14ac:dyDescent="0.25">
      <c r="A71" s="117" t="s">
        <v>47</v>
      </c>
      <c r="B71" s="103"/>
      <c r="C71" s="26"/>
      <c r="D71" s="27"/>
      <c r="E71" s="26"/>
      <c r="F71" s="26"/>
      <c r="G71" s="26"/>
      <c r="H71" s="28"/>
      <c r="I71" s="26"/>
      <c r="J71" s="26"/>
      <c r="K71" s="29"/>
      <c r="L71" s="26"/>
      <c r="M71" s="26"/>
      <c r="N71" s="28"/>
      <c r="O71" s="26"/>
      <c r="P71" s="28"/>
      <c r="Q71" s="26"/>
      <c r="R71" s="28"/>
      <c r="S71" s="26"/>
      <c r="T71" s="26"/>
      <c r="U71" s="26"/>
      <c r="V71" s="26"/>
      <c r="W71" s="29"/>
      <c r="X71" s="26"/>
      <c r="Y71" s="26"/>
      <c r="Z71" s="203"/>
    </row>
    <row r="72" spans="1:27" ht="15" customHeight="1" x14ac:dyDescent="0.25">
      <c r="A72" s="114" t="s">
        <v>84</v>
      </c>
      <c r="B72" s="113"/>
      <c r="C72" s="34">
        <v>0</v>
      </c>
      <c r="D72" s="27">
        <v>0</v>
      </c>
      <c r="E72" s="26">
        <f>SUM(C72:D72)</f>
        <v>0</v>
      </c>
      <c r="F72" s="26">
        <v>0</v>
      </c>
      <c r="G72" s="26">
        <v>0</v>
      </c>
      <c r="H72" s="28">
        <f>SUM(E72:G72)</f>
        <v>0</v>
      </c>
      <c r="I72" s="26">
        <v>0</v>
      </c>
      <c r="J72" s="26">
        <v>0</v>
      </c>
      <c r="K72" s="29">
        <f t="shared" si="6"/>
        <v>0</v>
      </c>
      <c r="L72" s="34">
        <v>0</v>
      </c>
      <c r="M72" s="34">
        <f>L72-K72</f>
        <v>0</v>
      </c>
      <c r="N72" s="92" t="s">
        <v>39</v>
      </c>
      <c r="O72" s="57">
        <v>0</v>
      </c>
      <c r="P72" s="92">
        <f>L72+O72</f>
        <v>0</v>
      </c>
      <c r="Q72" s="57">
        <v>0</v>
      </c>
      <c r="R72" s="92">
        <v>0</v>
      </c>
      <c r="S72" s="57">
        <f>SUM(P72:R72)</f>
        <v>0</v>
      </c>
      <c r="T72" s="57">
        <v>0</v>
      </c>
      <c r="U72" s="57">
        <v>0</v>
      </c>
      <c r="V72" s="59">
        <v>0</v>
      </c>
      <c r="W72" s="29">
        <f t="shared" si="24"/>
        <v>0</v>
      </c>
      <c r="X72" s="57" t="s">
        <v>263</v>
      </c>
      <c r="Y72" s="57" t="s">
        <v>263</v>
      </c>
      <c r="Z72" s="212" t="s">
        <v>263</v>
      </c>
    </row>
    <row r="73" spans="1:27" ht="15" customHeight="1" x14ac:dyDescent="0.25">
      <c r="A73" s="114" t="s">
        <v>67</v>
      </c>
      <c r="B73" s="113"/>
      <c r="C73" s="34">
        <v>2740</v>
      </c>
      <c r="D73" s="27">
        <f>1100+80</f>
        <v>1180</v>
      </c>
      <c r="E73" s="26">
        <f t="shared" ref="E73:E149" si="69">SUM(C73:D73)</f>
        <v>3920</v>
      </c>
      <c r="F73" s="26">
        <v>750</v>
      </c>
      <c r="G73" s="26">
        <f>-1000</f>
        <v>-1000</v>
      </c>
      <c r="H73" s="28">
        <f t="shared" ref="H73:H76" si="70">SUM(E73:G73)</f>
        <v>3670</v>
      </c>
      <c r="I73" s="26">
        <v>50</v>
      </c>
      <c r="J73" s="26">
        <f>-2</f>
        <v>-2</v>
      </c>
      <c r="K73" s="29">
        <f t="shared" si="6"/>
        <v>3718</v>
      </c>
      <c r="L73" s="34">
        <v>5735</v>
      </c>
      <c r="M73" s="34">
        <f t="shared" ref="M73:M89" si="71">L73-K73</f>
        <v>2017</v>
      </c>
      <c r="N73" s="35">
        <f t="shared" ref="N73:N138" si="72">L73/K73</f>
        <v>1.5424959655728887</v>
      </c>
      <c r="O73" s="34">
        <f>0</f>
        <v>0</v>
      </c>
      <c r="P73" s="92">
        <f t="shared" ref="P73:P153" si="73">L73+O73</f>
        <v>5735</v>
      </c>
      <c r="Q73" s="34">
        <v>0</v>
      </c>
      <c r="R73" s="35">
        <f>705-555</f>
        <v>150</v>
      </c>
      <c r="S73" s="57">
        <f t="shared" ref="S73:S151" si="74">SUM(P73:R73)</f>
        <v>5885</v>
      </c>
      <c r="T73" s="57">
        <v>0</v>
      </c>
      <c r="U73" s="57">
        <v>0</v>
      </c>
      <c r="V73" s="59">
        <v>0</v>
      </c>
      <c r="W73" s="29">
        <f t="shared" si="24"/>
        <v>5885</v>
      </c>
      <c r="X73" s="34">
        <v>5300</v>
      </c>
      <c r="Y73" s="34">
        <f>X73-W73</f>
        <v>-585</v>
      </c>
      <c r="Z73" s="213">
        <f>X73/W73</f>
        <v>0.9005947323704333</v>
      </c>
    </row>
    <row r="74" spans="1:27" ht="28.5" customHeight="1" x14ac:dyDescent="0.25">
      <c r="A74" s="32" t="s">
        <v>85</v>
      </c>
      <c r="B74" s="113" t="s">
        <v>86</v>
      </c>
      <c r="C74" s="34">
        <v>5800</v>
      </c>
      <c r="D74" s="27">
        <v>0</v>
      </c>
      <c r="E74" s="26">
        <f t="shared" si="69"/>
        <v>5800</v>
      </c>
      <c r="F74" s="26">
        <v>200</v>
      </c>
      <c r="G74" s="26">
        <v>0</v>
      </c>
      <c r="H74" s="28">
        <f t="shared" si="70"/>
        <v>6000</v>
      </c>
      <c r="I74" s="26">
        <v>0</v>
      </c>
      <c r="J74" s="26">
        <v>0</v>
      </c>
      <c r="K74" s="29">
        <f t="shared" si="6"/>
        <v>6000</v>
      </c>
      <c r="L74" s="34">
        <v>6900</v>
      </c>
      <c r="M74" s="34">
        <f t="shared" si="71"/>
        <v>900</v>
      </c>
      <c r="N74" s="35">
        <f t="shared" si="72"/>
        <v>1.1499999999999999</v>
      </c>
      <c r="O74" s="34">
        <v>0</v>
      </c>
      <c r="P74" s="92">
        <f t="shared" si="73"/>
        <v>6900</v>
      </c>
      <c r="Q74" s="34">
        <v>0</v>
      </c>
      <c r="R74" s="35">
        <v>0</v>
      </c>
      <c r="S74" s="57">
        <f t="shared" si="74"/>
        <v>6900</v>
      </c>
      <c r="T74" s="57">
        <v>0</v>
      </c>
      <c r="U74" s="57">
        <v>0</v>
      </c>
      <c r="V74" s="59">
        <v>0</v>
      </c>
      <c r="W74" s="29">
        <f t="shared" si="24"/>
        <v>6900</v>
      </c>
      <c r="X74" s="34">
        <v>7400</v>
      </c>
      <c r="Y74" s="34">
        <f>X74-W74</f>
        <v>500</v>
      </c>
      <c r="Z74" s="213">
        <f>X74/W74</f>
        <v>1.0724637681159421</v>
      </c>
    </row>
    <row r="75" spans="1:27" ht="24" customHeight="1" x14ac:dyDescent="0.25">
      <c r="A75" s="24" t="s">
        <v>87</v>
      </c>
      <c r="B75" s="118" t="s">
        <v>88</v>
      </c>
      <c r="C75" s="34">
        <v>1710</v>
      </c>
      <c r="D75" s="27">
        <v>0</v>
      </c>
      <c r="E75" s="26">
        <f t="shared" si="69"/>
        <v>1710</v>
      </c>
      <c r="F75" s="26">
        <v>0</v>
      </c>
      <c r="G75" s="26">
        <v>0</v>
      </c>
      <c r="H75" s="28">
        <f t="shared" si="70"/>
        <v>1710</v>
      </c>
      <c r="I75" s="26">
        <v>0</v>
      </c>
      <c r="J75" s="26">
        <v>0</v>
      </c>
      <c r="K75" s="29">
        <f t="shared" si="6"/>
        <v>1710</v>
      </c>
      <c r="L75" s="34">
        <v>3000</v>
      </c>
      <c r="M75" s="34">
        <f t="shared" si="71"/>
        <v>1290</v>
      </c>
      <c r="N75" s="35">
        <f t="shared" si="72"/>
        <v>1.7543859649122806</v>
      </c>
      <c r="O75" s="34">
        <v>0</v>
      </c>
      <c r="P75" s="92">
        <f t="shared" si="73"/>
        <v>3000</v>
      </c>
      <c r="Q75" s="34">
        <v>0</v>
      </c>
      <c r="R75" s="35">
        <v>0</v>
      </c>
      <c r="S75" s="57">
        <f t="shared" si="74"/>
        <v>3000</v>
      </c>
      <c r="T75" s="57">
        <v>-410</v>
      </c>
      <c r="U75" s="57">
        <v>0</v>
      </c>
      <c r="V75" s="59">
        <v>0</v>
      </c>
      <c r="W75" s="29">
        <f t="shared" si="24"/>
        <v>2590</v>
      </c>
      <c r="X75" s="34">
        <v>3500</v>
      </c>
      <c r="Y75" s="34">
        <f t="shared" ref="Y75:Y139" si="75">X75-W75</f>
        <v>910</v>
      </c>
      <c r="Z75" s="213">
        <f t="shared" ref="Z75:Z139" si="76">X75/W75</f>
        <v>1.3513513513513513</v>
      </c>
    </row>
    <row r="76" spans="1:27" ht="26.25" customHeight="1" x14ac:dyDescent="0.25">
      <c r="A76" s="32" t="s">
        <v>89</v>
      </c>
      <c r="B76" s="113" t="s">
        <v>90</v>
      </c>
      <c r="C76" s="34">
        <v>720</v>
      </c>
      <c r="D76" s="27">
        <v>0</v>
      </c>
      <c r="E76" s="26">
        <f t="shared" si="69"/>
        <v>720</v>
      </c>
      <c r="F76" s="26">
        <v>0</v>
      </c>
      <c r="G76" s="26">
        <v>0</v>
      </c>
      <c r="H76" s="28">
        <f t="shared" si="70"/>
        <v>720</v>
      </c>
      <c r="I76" s="26">
        <v>0</v>
      </c>
      <c r="J76" s="26">
        <v>0</v>
      </c>
      <c r="K76" s="29">
        <f t="shared" si="6"/>
        <v>720</v>
      </c>
      <c r="L76" s="34">
        <v>900</v>
      </c>
      <c r="M76" s="34">
        <f t="shared" si="71"/>
        <v>180</v>
      </c>
      <c r="N76" s="35">
        <f t="shared" si="72"/>
        <v>1.25</v>
      </c>
      <c r="O76" s="34">
        <v>0</v>
      </c>
      <c r="P76" s="92">
        <f t="shared" si="73"/>
        <v>900</v>
      </c>
      <c r="Q76" s="34">
        <v>0</v>
      </c>
      <c r="R76" s="35">
        <v>0</v>
      </c>
      <c r="S76" s="57">
        <f t="shared" si="74"/>
        <v>900</v>
      </c>
      <c r="T76" s="57">
        <v>0</v>
      </c>
      <c r="U76" s="57">
        <v>0</v>
      </c>
      <c r="V76" s="59">
        <v>0</v>
      </c>
      <c r="W76" s="29">
        <f t="shared" si="24"/>
        <v>900</v>
      </c>
      <c r="X76" s="34">
        <v>900</v>
      </c>
      <c r="Y76" s="34">
        <f t="shared" si="75"/>
        <v>0</v>
      </c>
      <c r="Z76" s="213">
        <f t="shared" si="76"/>
        <v>1</v>
      </c>
    </row>
    <row r="77" spans="1:27" ht="15" customHeight="1" x14ac:dyDescent="0.25">
      <c r="A77" s="114" t="s">
        <v>91</v>
      </c>
      <c r="B77" s="90" t="s">
        <v>92</v>
      </c>
      <c r="C77" s="34">
        <v>31540</v>
      </c>
      <c r="D77" s="27">
        <v>0</v>
      </c>
      <c r="E77" s="26">
        <f t="shared" si="69"/>
        <v>31540</v>
      </c>
      <c r="F77" s="26">
        <f>900+0</f>
        <v>900</v>
      </c>
      <c r="G77" s="26">
        <v>0</v>
      </c>
      <c r="H77" s="28">
        <f>SUM(E77:G77)</f>
        <v>32440</v>
      </c>
      <c r="I77" s="26">
        <v>300</v>
      </c>
      <c r="J77" s="26">
        <v>0</v>
      </c>
      <c r="K77" s="29">
        <f t="shared" si="6"/>
        <v>32740</v>
      </c>
      <c r="L77" s="119">
        <v>39495</v>
      </c>
      <c r="M77" s="34">
        <f t="shared" si="71"/>
        <v>6755</v>
      </c>
      <c r="N77" s="35">
        <f t="shared" si="72"/>
        <v>1.2063225412339647</v>
      </c>
      <c r="O77" s="34">
        <v>0</v>
      </c>
      <c r="P77" s="92">
        <f t="shared" si="73"/>
        <v>39495</v>
      </c>
      <c r="Q77" s="34">
        <v>3399</v>
      </c>
      <c r="R77" s="35">
        <v>0</v>
      </c>
      <c r="S77" s="57">
        <f t="shared" si="74"/>
        <v>42894</v>
      </c>
      <c r="T77" s="57">
        <v>0</v>
      </c>
      <c r="U77" s="57">
        <v>0</v>
      </c>
      <c r="V77" s="59">
        <v>0</v>
      </c>
      <c r="W77" s="29">
        <f t="shared" si="24"/>
        <v>42894</v>
      </c>
      <c r="X77" s="119">
        <v>42922</v>
      </c>
      <c r="Y77" s="34">
        <f t="shared" si="75"/>
        <v>28</v>
      </c>
      <c r="Z77" s="213">
        <f t="shared" si="76"/>
        <v>1.0006527719494569</v>
      </c>
    </row>
    <row r="78" spans="1:27" ht="15" customHeight="1" x14ac:dyDescent="0.25">
      <c r="A78" s="117" t="s">
        <v>93</v>
      </c>
      <c r="B78" s="113" t="s">
        <v>350</v>
      </c>
      <c r="C78" s="34">
        <v>2638</v>
      </c>
      <c r="D78" s="27">
        <v>0</v>
      </c>
      <c r="E78" s="26">
        <f t="shared" si="69"/>
        <v>2638</v>
      </c>
      <c r="F78" s="26">
        <v>0</v>
      </c>
      <c r="G78" s="26">
        <v>0</v>
      </c>
      <c r="H78" s="28">
        <f t="shared" ref="H78:H153" si="77">SUM(E78:G78)</f>
        <v>2638</v>
      </c>
      <c r="I78" s="26">
        <v>150</v>
      </c>
      <c r="J78" s="26">
        <v>0</v>
      </c>
      <c r="K78" s="29">
        <f t="shared" si="6"/>
        <v>2788</v>
      </c>
      <c r="L78" s="119">
        <v>3531</v>
      </c>
      <c r="M78" s="34">
        <f t="shared" si="71"/>
        <v>743</v>
      </c>
      <c r="N78" s="35">
        <f t="shared" si="72"/>
        <v>1.2664992826398853</v>
      </c>
      <c r="O78" s="34">
        <v>0</v>
      </c>
      <c r="P78" s="92">
        <f t="shared" si="73"/>
        <v>3531</v>
      </c>
      <c r="Q78" s="34">
        <v>256</v>
      </c>
      <c r="R78" s="35">
        <v>0</v>
      </c>
      <c r="S78" s="57">
        <f t="shared" si="74"/>
        <v>3787</v>
      </c>
      <c r="T78" s="57">
        <v>0</v>
      </c>
      <c r="U78" s="57">
        <v>0</v>
      </c>
      <c r="V78" s="59">
        <v>0</v>
      </c>
      <c r="W78" s="29">
        <f>SUM(S78:V78)</f>
        <v>3787</v>
      </c>
      <c r="X78" s="119">
        <v>3692</v>
      </c>
      <c r="Y78" s="34">
        <f t="shared" si="75"/>
        <v>-95</v>
      </c>
      <c r="Z78" s="213">
        <f t="shared" si="76"/>
        <v>0.97491418008978081</v>
      </c>
    </row>
    <row r="79" spans="1:27" ht="15" customHeight="1" x14ac:dyDescent="0.25">
      <c r="A79" s="117" t="s">
        <v>94</v>
      </c>
      <c r="B79" s="113"/>
      <c r="C79" s="34"/>
      <c r="D79" s="27"/>
      <c r="E79" s="26"/>
      <c r="F79" s="26"/>
      <c r="G79" s="26"/>
      <c r="H79" s="28"/>
      <c r="I79" s="26"/>
      <c r="J79" s="26"/>
      <c r="K79" s="29"/>
      <c r="L79" s="119">
        <v>0</v>
      </c>
      <c r="M79" s="34"/>
      <c r="N79" s="35"/>
      <c r="O79" s="34"/>
      <c r="P79" s="92"/>
      <c r="Q79" s="34"/>
      <c r="R79" s="35"/>
      <c r="S79" s="57">
        <v>0</v>
      </c>
      <c r="T79" s="57">
        <v>0</v>
      </c>
      <c r="U79" s="57">
        <v>0</v>
      </c>
      <c r="V79" s="59">
        <f>40.1-15.14</f>
        <v>24.96</v>
      </c>
      <c r="W79" s="29">
        <f>SUM(S79:V79)</f>
        <v>24.96</v>
      </c>
      <c r="X79" s="119">
        <v>0</v>
      </c>
      <c r="Y79" s="34">
        <f t="shared" si="75"/>
        <v>-24.96</v>
      </c>
      <c r="Z79" s="213">
        <f t="shared" si="76"/>
        <v>0</v>
      </c>
    </row>
    <row r="80" spans="1:27" ht="15" customHeight="1" x14ac:dyDescent="0.25">
      <c r="A80" s="114" t="s">
        <v>95</v>
      </c>
      <c r="B80" s="113" t="s">
        <v>350</v>
      </c>
      <c r="C80" s="34">
        <v>3651</v>
      </c>
      <c r="D80" s="27">
        <v>0</v>
      </c>
      <c r="E80" s="26">
        <f t="shared" si="69"/>
        <v>3651</v>
      </c>
      <c r="F80" s="26">
        <v>0</v>
      </c>
      <c r="G80" s="26">
        <v>0</v>
      </c>
      <c r="H80" s="28">
        <f t="shared" si="77"/>
        <v>3651</v>
      </c>
      <c r="I80" s="26">
        <v>150</v>
      </c>
      <c r="J80" s="26">
        <v>0</v>
      </c>
      <c r="K80" s="29">
        <f t="shared" ref="K80:K150" si="78">SUM(H80:J80)</f>
        <v>3801</v>
      </c>
      <c r="L80" s="119">
        <v>4382</v>
      </c>
      <c r="M80" s="34">
        <f t="shared" si="71"/>
        <v>581</v>
      </c>
      <c r="N80" s="35">
        <f t="shared" si="72"/>
        <v>1.152854511970534</v>
      </c>
      <c r="O80" s="34">
        <v>0</v>
      </c>
      <c r="P80" s="92">
        <f t="shared" si="73"/>
        <v>4382</v>
      </c>
      <c r="Q80" s="34">
        <v>257</v>
      </c>
      <c r="R80" s="35">
        <v>0</v>
      </c>
      <c r="S80" s="57">
        <f t="shared" si="74"/>
        <v>4639</v>
      </c>
      <c r="T80" s="57">
        <v>0</v>
      </c>
      <c r="U80" s="57">
        <v>0</v>
      </c>
      <c r="V80" s="59">
        <v>0</v>
      </c>
      <c r="W80" s="29">
        <f t="shared" si="24"/>
        <v>4639</v>
      </c>
      <c r="X80" s="119">
        <v>4544</v>
      </c>
      <c r="Y80" s="34">
        <f t="shared" si="75"/>
        <v>-95</v>
      </c>
      <c r="Z80" s="213">
        <f t="shared" si="76"/>
        <v>0.97952144858805779</v>
      </c>
    </row>
    <row r="81" spans="1:27" ht="15.75" customHeight="1" x14ac:dyDescent="0.25">
      <c r="A81" s="32" t="s">
        <v>96</v>
      </c>
      <c r="B81" s="113" t="s">
        <v>350</v>
      </c>
      <c r="C81" s="34">
        <v>864</v>
      </c>
      <c r="D81" s="27">
        <v>0</v>
      </c>
      <c r="E81" s="26">
        <f t="shared" si="69"/>
        <v>864</v>
      </c>
      <c r="F81" s="26">
        <v>0</v>
      </c>
      <c r="G81" s="26">
        <v>0</v>
      </c>
      <c r="H81" s="28">
        <f t="shared" si="77"/>
        <v>864</v>
      </c>
      <c r="I81" s="26">
        <v>0</v>
      </c>
      <c r="J81" s="26">
        <v>0</v>
      </c>
      <c r="K81" s="29">
        <f t="shared" si="78"/>
        <v>864</v>
      </c>
      <c r="L81" s="119">
        <v>1725</v>
      </c>
      <c r="M81" s="34">
        <f t="shared" si="71"/>
        <v>861</v>
      </c>
      <c r="N81" s="35">
        <f t="shared" si="72"/>
        <v>1.9965277777777777</v>
      </c>
      <c r="O81" s="34">
        <v>0</v>
      </c>
      <c r="P81" s="92">
        <f t="shared" si="73"/>
        <v>1725</v>
      </c>
      <c r="Q81" s="34">
        <v>50</v>
      </c>
      <c r="R81" s="35">
        <v>0</v>
      </c>
      <c r="S81" s="57">
        <f t="shared" si="74"/>
        <v>1775</v>
      </c>
      <c r="T81" s="57">
        <v>0</v>
      </c>
      <c r="U81" s="57">
        <v>0</v>
      </c>
      <c r="V81" s="59">
        <v>0</v>
      </c>
      <c r="W81" s="29">
        <f t="shared" si="24"/>
        <v>1775</v>
      </c>
      <c r="X81" s="119">
        <v>1725</v>
      </c>
      <c r="Y81" s="34">
        <f t="shared" si="75"/>
        <v>-50</v>
      </c>
      <c r="Z81" s="213">
        <f t="shared" si="76"/>
        <v>0.971830985915493</v>
      </c>
    </row>
    <row r="82" spans="1:27" ht="15" customHeight="1" x14ac:dyDescent="0.25">
      <c r="A82" s="32" t="s">
        <v>97</v>
      </c>
      <c r="B82" s="113" t="s">
        <v>350</v>
      </c>
      <c r="C82" s="34">
        <v>2940</v>
      </c>
      <c r="D82" s="27">
        <v>0</v>
      </c>
      <c r="E82" s="26">
        <f t="shared" si="69"/>
        <v>2940</v>
      </c>
      <c r="F82" s="26">
        <v>0</v>
      </c>
      <c r="G82" s="26">
        <v>0</v>
      </c>
      <c r="H82" s="28">
        <f t="shared" si="77"/>
        <v>2940</v>
      </c>
      <c r="I82" s="26">
        <v>235</v>
      </c>
      <c r="J82" s="26">
        <v>0</v>
      </c>
      <c r="K82" s="29">
        <f t="shared" si="78"/>
        <v>3175</v>
      </c>
      <c r="L82" s="119">
        <v>4502</v>
      </c>
      <c r="M82" s="34">
        <f t="shared" si="71"/>
        <v>1327</v>
      </c>
      <c r="N82" s="35">
        <f t="shared" si="72"/>
        <v>1.4179527559055118</v>
      </c>
      <c r="O82" s="34">
        <v>0</v>
      </c>
      <c r="P82" s="92">
        <f t="shared" si="73"/>
        <v>4502</v>
      </c>
      <c r="Q82" s="34">
        <v>140</v>
      </c>
      <c r="R82" s="35">
        <v>0</v>
      </c>
      <c r="S82" s="57">
        <f t="shared" si="74"/>
        <v>4642</v>
      </c>
      <c r="T82" s="57">
        <v>50</v>
      </c>
      <c r="U82" s="57">
        <v>0</v>
      </c>
      <c r="V82" s="59">
        <v>0</v>
      </c>
      <c r="W82" s="29">
        <f t="shared" si="24"/>
        <v>4692</v>
      </c>
      <c r="X82" s="119">
        <v>4652</v>
      </c>
      <c r="Y82" s="34">
        <f t="shared" si="75"/>
        <v>-40</v>
      </c>
      <c r="Z82" s="213">
        <f t="shared" si="76"/>
        <v>0.99147485080988917</v>
      </c>
    </row>
    <row r="83" spans="1:27" ht="15" customHeight="1" x14ac:dyDescent="0.25">
      <c r="A83" s="32" t="s">
        <v>98</v>
      </c>
      <c r="B83" s="113"/>
      <c r="C83" s="34"/>
      <c r="D83" s="27"/>
      <c r="E83" s="26"/>
      <c r="F83" s="26"/>
      <c r="G83" s="26"/>
      <c r="H83" s="28"/>
      <c r="I83" s="26"/>
      <c r="J83" s="26"/>
      <c r="K83" s="29"/>
      <c r="L83" s="119">
        <v>0</v>
      </c>
      <c r="M83" s="34"/>
      <c r="N83" s="35"/>
      <c r="O83" s="34"/>
      <c r="P83" s="92"/>
      <c r="Q83" s="34"/>
      <c r="R83" s="35"/>
      <c r="S83" s="57">
        <v>0</v>
      </c>
      <c r="T83" s="57">
        <v>0</v>
      </c>
      <c r="U83" s="57">
        <v>0</v>
      </c>
      <c r="V83" s="59">
        <f>28.43-16.04</f>
        <v>12.39</v>
      </c>
      <c r="W83" s="29">
        <f>SUM(S83:V83)</f>
        <v>12.39</v>
      </c>
      <c r="X83" s="119">
        <v>0</v>
      </c>
      <c r="Y83" s="34">
        <f t="shared" si="75"/>
        <v>-12.39</v>
      </c>
      <c r="Z83" s="213">
        <f t="shared" si="76"/>
        <v>0</v>
      </c>
    </row>
    <row r="84" spans="1:27" ht="15" customHeight="1" x14ac:dyDescent="0.25">
      <c r="A84" s="114" t="s">
        <v>99</v>
      </c>
      <c r="B84" s="113" t="s">
        <v>350</v>
      </c>
      <c r="C84" s="34">
        <v>2964</v>
      </c>
      <c r="D84" s="27">
        <v>0</v>
      </c>
      <c r="E84" s="26">
        <f t="shared" si="69"/>
        <v>2964</v>
      </c>
      <c r="F84" s="26">
        <v>588</v>
      </c>
      <c r="G84" s="26">
        <v>0</v>
      </c>
      <c r="H84" s="28">
        <f t="shared" si="77"/>
        <v>3552</v>
      </c>
      <c r="I84" s="26">
        <v>0</v>
      </c>
      <c r="J84" s="26">
        <v>0</v>
      </c>
      <c r="K84" s="29">
        <f t="shared" si="78"/>
        <v>3552</v>
      </c>
      <c r="L84" s="119">
        <v>4517</v>
      </c>
      <c r="M84" s="34">
        <f t="shared" si="71"/>
        <v>965</v>
      </c>
      <c r="N84" s="35">
        <f t="shared" si="72"/>
        <v>1.271677927927928</v>
      </c>
      <c r="O84" s="34">
        <v>0</v>
      </c>
      <c r="P84" s="92">
        <f t="shared" si="73"/>
        <v>4517</v>
      </c>
      <c r="Q84" s="34">
        <v>90</v>
      </c>
      <c r="R84" s="35">
        <v>0</v>
      </c>
      <c r="S84" s="57">
        <f t="shared" si="74"/>
        <v>4607</v>
      </c>
      <c r="T84" s="57">
        <v>0</v>
      </c>
      <c r="U84" s="57">
        <v>0</v>
      </c>
      <c r="V84" s="59">
        <v>0</v>
      </c>
      <c r="W84" s="29">
        <f t="shared" si="24"/>
        <v>4607</v>
      </c>
      <c r="X84" s="119">
        <v>4512</v>
      </c>
      <c r="Y84" s="34">
        <f t="shared" si="75"/>
        <v>-95</v>
      </c>
      <c r="Z84" s="213">
        <f t="shared" si="76"/>
        <v>0.9793792055567615</v>
      </c>
    </row>
    <row r="85" spans="1:27" ht="15" customHeight="1" x14ac:dyDescent="0.25">
      <c r="A85" s="114" t="s">
        <v>100</v>
      </c>
      <c r="B85" s="113"/>
      <c r="C85" s="34"/>
      <c r="D85" s="27"/>
      <c r="E85" s="26"/>
      <c r="F85" s="26"/>
      <c r="G85" s="26"/>
      <c r="H85" s="28"/>
      <c r="I85" s="26"/>
      <c r="J85" s="26"/>
      <c r="K85" s="29"/>
      <c r="L85" s="119">
        <v>0</v>
      </c>
      <c r="M85" s="34"/>
      <c r="N85" s="35"/>
      <c r="O85" s="34"/>
      <c r="P85" s="92"/>
      <c r="Q85" s="34"/>
      <c r="R85" s="35"/>
      <c r="S85" s="57">
        <v>0</v>
      </c>
      <c r="T85" s="57">
        <v>0</v>
      </c>
      <c r="U85" s="57">
        <v>0</v>
      </c>
      <c r="V85" s="59">
        <f>43.08-21.83</f>
        <v>21.25</v>
      </c>
      <c r="W85" s="29">
        <f>SUM(S85:V85)</f>
        <v>21.25</v>
      </c>
      <c r="X85" s="119">
        <v>0</v>
      </c>
      <c r="Y85" s="34">
        <f t="shared" si="75"/>
        <v>-21.25</v>
      </c>
      <c r="Z85" s="213">
        <f t="shared" si="76"/>
        <v>0</v>
      </c>
    </row>
    <row r="86" spans="1:27" ht="15" customHeight="1" x14ac:dyDescent="0.25">
      <c r="A86" s="114" t="s">
        <v>101</v>
      </c>
      <c r="B86" s="113" t="s">
        <v>350</v>
      </c>
      <c r="C86" s="34">
        <v>317</v>
      </c>
      <c r="D86" s="27">
        <v>0</v>
      </c>
      <c r="E86" s="26">
        <f t="shared" si="69"/>
        <v>317</v>
      </c>
      <c r="F86" s="26">
        <v>0</v>
      </c>
      <c r="G86" s="26">
        <v>0</v>
      </c>
      <c r="H86" s="28">
        <f t="shared" si="77"/>
        <v>317</v>
      </c>
      <c r="I86" s="26">
        <v>150</v>
      </c>
      <c r="J86" s="26">
        <v>0</v>
      </c>
      <c r="K86" s="29">
        <f t="shared" si="78"/>
        <v>467</v>
      </c>
      <c r="L86" s="119">
        <v>382</v>
      </c>
      <c r="M86" s="34">
        <f t="shared" si="71"/>
        <v>-85</v>
      </c>
      <c r="N86" s="35">
        <f t="shared" si="72"/>
        <v>0.8179871520342612</v>
      </c>
      <c r="O86" s="34">
        <v>0</v>
      </c>
      <c r="P86" s="92">
        <f t="shared" si="73"/>
        <v>382</v>
      </c>
      <c r="Q86" s="34">
        <v>50</v>
      </c>
      <c r="R86" s="35">
        <v>0</v>
      </c>
      <c r="S86" s="57">
        <f t="shared" si="74"/>
        <v>432</v>
      </c>
      <c r="T86" s="57">
        <v>0</v>
      </c>
      <c r="U86" s="57">
        <v>0</v>
      </c>
      <c r="V86" s="59">
        <v>0</v>
      </c>
      <c r="W86" s="29">
        <f t="shared" si="24"/>
        <v>432</v>
      </c>
      <c r="X86" s="119">
        <v>382</v>
      </c>
      <c r="Y86" s="34">
        <f t="shared" si="75"/>
        <v>-50</v>
      </c>
      <c r="Z86" s="213">
        <f t="shared" si="76"/>
        <v>0.8842592592592593</v>
      </c>
    </row>
    <row r="87" spans="1:27" ht="15" customHeight="1" x14ac:dyDescent="0.25">
      <c r="A87" s="114" t="s">
        <v>102</v>
      </c>
      <c r="B87" s="113" t="s">
        <v>350</v>
      </c>
      <c r="C87" s="34">
        <v>173</v>
      </c>
      <c r="D87" s="27">
        <v>0</v>
      </c>
      <c r="E87" s="26">
        <f t="shared" si="69"/>
        <v>173</v>
      </c>
      <c r="F87" s="26">
        <v>0</v>
      </c>
      <c r="G87" s="26">
        <v>0</v>
      </c>
      <c r="H87" s="28">
        <f t="shared" si="77"/>
        <v>173</v>
      </c>
      <c r="I87" s="26">
        <v>0</v>
      </c>
      <c r="J87" s="26">
        <v>0</v>
      </c>
      <c r="K87" s="29">
        <f t="shared" si="78"/>
        <v>173</v>
      </c>
      <c r="L87" s="119">
        <v>343</v>
      </c>
      <c r="M87" s="34">
        <f t="shared" si="71"/>
        <v>170</v>
      </c>
      <c r="N87" s="35">
        <f t="shared" si="72"/>
        <v>1.9826589595375723</v>
      </c>
      <c r="O87" s="34">
        <v>0</v>
      </c>
      <c r="P87" s="92">
        <f t="shared" si="73"/>
        <v>343</v>
      </c>
      <c r="Q87" s="34">
        <v>50</v>
      </c>
      <c r="R87" s="35">
        <v>0</v>
      </c>
      <c r="S87" s="57">
        <f t="shared" si="74"/>
        <v>393</v>
      </c>
      <c r="T87" s="57">
        <v>0</v>
      </c>
      <c r="U87" s="57">
        <v>0</v>
      </c>
      <c r="V87" s="59">
        <v>0</v>
      </c>
      <c r="W87" s="29">
        <f t="shared" si="24"/>
        <v>393</v>
      </c>
      <c r="X87" s="119">
        <v>343</v>
      </c>
      <c r="Y87" s="34">
        <f t="shared" si="75"/>
        <v>-50</v>
      </c>
      <c r="Z87" s="213">
        <f t="shared" si="76"/>
        <v>0.87277353689567427</v>
      </c>
    </row>
    <row r="88" spans="1:27" ht="15" customHeight="1" x14ac:dyDescent="0.25">
      <c r="A88" s="114" t="s">
        <v>335</v>
      </c>
      <c r="B88" s="113"/>
      <c r="C88" s="34"/>
      <c r="D88" s="27"/>
      <c r="E88" s="26"/>
      <c r="F88" s="26"/>
      <c r="G88" s="26"/>
      <c r="H88" s="28"/>
      <c r="I88" s="26"/>
      <c r="J88" s="26"/>
      <c r="K88" s="29"/>
      <c r="L88" s="119">
        <v>0</v>
      </c>
      <c r="M88" s="34"/>
      <c r="N88" s="35"/>
      <c r="O88" s="34"/>
      <c r="P88" s="92"/>
      <c r="Q88" s="34"/>
      <c r="R88" s="35"/>
      <c r="S88" s="57">
        <v>0</v>
      </c>
      <c r="T88" s="57">
        <v>0</v>
      </c>
      <c r="U88" s="57">
        <v>0</v>
      </c>
      <c r="V88" s="59">
        <f>902.81</f>
        <v>902.81</v>
      </c>
      <c r="W88" s="29">
        <f>SUM(S88:V88)</f>
        <v>902.81</v>
      </c>
      <c r="X88" s="119">
        <v>0</v>
      </c>
      <c r="Y88" s="34">
        <f t="shared" si="75"/>
        <v>-902.81</v>
      </c>
      <c r="Z88" s="213">
        <f t="shared" si="76"/>
        <v>0</v>
      </c>
    </row>
    <row r="89" spans="1:27" ht="15" customHeight="1" x14ac:dyDescent="0.25">
      <c r="A89" s="114" t="s">
        <v>103</v>
      </c>
      <c r="B89" s="113" t="s">
        <v>350</v>
      </c>
      <c r="C89" s="34">
        <v>3367</v>
      </c>
      <c r="D89" s="27">
        <v>0</v>
      </c>
      <c r="E89" s="26">
        <f t="shared" si="69"/>
        <v>3367</v>
      </c>
      <c r="F89" s="26">
        <v>0</v>
      </c>
      <c r="G89" s="26">
        <v>0</v>
      </c>
      <c r="H89" s="28">
        <f t="shared" si="77"/>
        <v>3367</v>
      </c>
      <c r="I89" s="26">
        <v>140</v>
      </c>
      <c r="J89" s="26">
        <v>0</v>
      </c>
      <c r="K89" s="29">
        <f t="shared" si="78"/>
        <v>3507</v>
      </c>
      <c r="L89" s="119">
        <v>4076</v>
      </c>
      <c r="M89" s="34">
        <f t="shared" si="71"/>
        <v>569</v>
      </c>
      <c r="N89" s="35">
        <f t="shared" si="72"/>
        <v>1.1622469347020246</v>
      </c>
      <c r="O89" s="34">
        <v>0</v>
      </c>
      <c r="P89" s="92">
        <f t="shared" si="73"/>
        <v>4076</v>
      </c>
      <c r="Q89" s="34">
        <v>140</v>
      </c>
      <c r="R89" s="35">
        <v>0</v>
      </c>
      <c r="S89" s="57">
        <f t="shared" si="74"/>
        <v>4216</v>
      </c>
      <c r="T89" s="57">
        <v>0</v>
      </c>
      <c r="U89" s="57">
        <v>0</v>
      </c>
      <c r="V89" s="59">
        <v>0</v>
      </c>
      <c r="W89" s="29">
        <f t="shared" si="24"/>
        <v>4216</v>
      </c>
      <c r="X89" s="119">
        <v>4076</v>
      </c>
      <c r="Y89" s="34">
        <f t="shared" si="75"/>
        <v>-140</v>
      </c>
      <c r="Z89" s="213">
        <f t="shared" si="76"/>
        <v>0.96679316888045541</v>
      </c>
    </row>
    <row r="90" spans="1:27" ht="15" customHeight="1" x14ac:dyDescent="0.25">
      <c r="A90" s="114" t="s">
        <v>104</v>
      </c>
      <c r="B90" s="113" t="s">
        <v>350</v>
      </c>
      <c r="C90" s="34">
        <v>246</v>
      </c>
      <c r="D90" s="27">
        <v>0</v>
      </c>
      <c r="E90" s="26">
        <f t="shared" si="69"/>
        <v>246</v>
      </c>
      <c r="F90" s="26">
        <v>0</v>
      </c>
      <c r="G90" s="26">
        <v>0</v>
      </c>
      <c r="H90" s="28">
        <f t="shared" si="77"/>
        <v>246</v>
      </c>
      <c r="I90" s="26">
        <v>0</v>
      </c>
      <c r="J90" s="26">
        <v>0</v>
      </c>
      <c r="K90" s="29">
        <f t="shared" si="78"/>
        <v>246</v>
      </c>
      <c r="L90" s="119">
        <v>385</v>
      </c>
      <c r="M90" s="34">
        <f>L90-K90</f>
        <v>139</v>
      </c>
      <c r="N90" s="35">
        <f t="shared" si="72"/>
        <v>1.565040650406504</v>
      </c>
      <c r="O90" s="34">
        <v>0</v>
      </c>
      <c r="P90" s="92">
        <f t="shared" si="73"/>
        <v>385</v>
      </c>
      <c r="Q90" s="34">
        <v>50</v>
      </c>
      <c r="R90" s="35">
        <v>0</v>
      </c>
      <c r="S90" s="57">
        <f t="shared" si="74"/>
        <v>435</v>
      </c>
      <c r="T90" s="57">
        <v>0</v>
      </c>
      <c r="U90" s="57">
        <v>0</v>
      </c>
      <c r="V90" s="59">
        <v>0</v>
      </c>
      <c r="W90" s="29">
        <f t="shared" si="24"/>
        <v>435</v>
      </c>
      <c r="X90" s="119">
        <v>385</v>
      </c>
      <c r="Y90" s="34">
        <f t="shared" si="75"/>
        <v>-50</v>
      </c>
      <c r="Z90" s="213">
        <f t="shared" si="76"/>
        <v>0.88505747126436785</v>
      </c>
    </row>
    <row r="91" spans="1:27" ht="15" customHeight="1" x14ac:dyDescent="0.25">
      <c r="A91" s="117" t="s">
        <v>105</v>
      </c>
      <c r="B91" s="113"/>
      <c r="C91" s="34"/>
      <c r="D91" s="27"/>
      <c r="E91" s="26"/>
      <c r="F91" s="26"/>
      <c r="G91" s="26"/>
      <c r="H91" s="28"/>
      <c r="I91" s="26"/>
      <c r="J91" s="26"/>
      <c r="K91" s="29"/>
      <c r="L91" s="119">
        <v>0</v>
      </c>
      <c r="M91" s="34"/>
      <c r="N91" s="35"/>
      <c r="O91" s="34"/>
      <c r="P91" s="92">
        <v>0</v>
      </c>
      <c r="Q91" s="34">
        <v>0</v>
      </c>
      <c r="R91" s="35">
        <f>968.6</f>
        <v>968.6</v>
      </c>
      <c r="S91" s="57">
        <f>SUM(P91:R91)</f>
        <v>968.6</v>
      </c>
      <c r="T91" s="57">
        <v>0</v>
      </c>
      <c r="U91" s="57">
        <v>0</v>
      </c>
      <c r="V91" s="59">
        <v>0</v>
      </c>
      <c r="W91" s="29">
        <f t="shared" si="24"/>
        <v>968.6</v>
      </c>
      <c r="X91" s="119">
        <v>0</v>
      </c>
      <c r="Y91" s="34">
        <f t="shared" si="75"/>
        <v>-968.6</v>
      </c>
      <c r="Z91" s="213">
        <f t="shared" si="76"/>
        <v>0</v>
      </c>
    </row>
    <row r="92" spans="1:27" ht="15" customHeight="1" x14ac:dyDescent="0.25">
      <c r="A92" s="117" t="s">
        <v>106</v>
      </c>
      <c r="B92" s="113" t="s">
        <v>350</v>
      </c>
      <c r="C92" s="34">
        <v>2770</v>
      </c>
      <c r="D92" s="27">
        <v>0</v>
      </c>
      <c r="E92" s="26">
        <f t="shared" si="69"/>
        <v>2770</v>
      </c>
      <c r="F92" s="26">
        <v>0</v>
      </c>
      <c r="G92" s="26">
        <v>0</v>
      </c>
      <c r="H92" s="28">
        <f>SUM(E92:G92)</f>
        <v>2770</v>
      </c>
      <c r="I92" s="26">
        <v>150</v>
      </c>
      <c r="J92" s="26">
        <v>0</v>
      </c>
      <c r="K92" s="29">
        <f t="shared" si="78"/>
        <v>2920</v>
      </c>
      <c r="L92" s="119">
        <v>3311</v>
      </c>
      <c r="M92" s="34">
        <f>L92-K92</f>
        <v>391</v>
      </c>
      <c r="N92" s="35">
        <f t="shared" si="72"/>
        <v>1.1339041095890412</v>
      </c>
      <c r="O92" s="34">
        <v>0</v>
      </c>
      <c r="P92" s="92">
        <f t="shared" si="73"/>
        <v>3311</v>
      </c>
      <c r="Q92" s="34">
        <v>315</v>
      </c>
      <c r="R92" s="35">
        <v>0</v>
      </c>
      <c r="S92" s="57">
        <f t="shared" si="74"/>
        <v>3626</v>
      </c>
      <c r="T92" s="57">
        <v>43.79</v>
      </c>
      <c r="U92" s="57">
        <v>0</v>
      </c>
      <c r="V92" s="59">
        <v>0</v>
      </c>
      <c r="W92" s="29">
        <f t="shared" si="24"/>
        <v>3669.79</v>
      </c>
      <c r="X92" s="119">
        <v>3531</v>
      </c>
      <c r="Y92" s="34">
        <f t="shared" si="75"/>
        <v>-138.78999999999996</v>
      </c>
      <c r="Z92" s="213">
        <f t="shared" si="76"/>
        <v>0.96218039724343896</v>
      </c>
    </row>
    <row r="93" spans="1:27" ht="15" customHeight="1" x14ac:dyDescent="0.25">
      <c r="A93" s="117" t="s">
        <v>107</v>
      </c>
      <c r="B93" s="113"/>
      <c r="C93" s="34"/>
      <c r="D93" s="27"/>
      <c r="E93" s="26"/>
      <c r="F93" s="26"/>
      <c r="G93" s="26"/>
      <c r="H93" s="28"/>
      <c r="I93" s="26"/>
      <c r="J93" s="26"/>
      <c r="K93" s="29"/>
      <c r="L93" s="119">
        <v>0</v>
      </c>
      <c r="M93" s="34"/>
      <c r="N93" s="35"/>
      <c r="O93" s="34"/>
      <c r="P93" s="92"/>
      <c r="Q93" s="34"/>
      <c r="R93" s="35"/>
      <c r="S93" s="57">
        <v>0</v>
      </c>
      <c r="T93" s="57">
        <v>0</v>
      </c>
      <c r="U93" s="57">
        <v>0</v>
      </c>
      <c r="V93" s="59">
        <f>25.17-20.18</f>
        <v>4.990000000000002</v>
      </c>
      <c r="W93" s="29">
        <f>SUM(S93:V93)</f>
        <v>4.990000000000002</v>
      </c>
      <c r="X93" s="119">
        <v>0</v>
      </c>
      <c r="Y93" s="34">
        <f t="shared" si="75"/>
        <v>-4.990000000000002</v>
      </c>
      <c r="Z93" s="213">
        <f t="shared" si="76"/>
        <v>0</v>
      </c>
    </row>
    <row r="94" spans="1:27" ht="15" customHeight="1" x14ac:dyDescent="0.25">
      <c r="A94" s="117" t="s">
        <v>108</v>
      </c>
      <c r="B94" s="113" t="s">
        <v>350</v>
      </c>
      <c r="C94" s="34">
        <v>1808</v>
      </c>
      <c r="D94" s="27">
        <v>0</v>
      </c>
      <c r="E94" s="26">
        <f t="shared" si="69"/>
        <v>1808</v>
      </c>
      <c r="F94" s="26">
        <v>666</v>
      </c>
      <c r="G94" s="26">
        <v>0</v>
      </c>
      <c r="H94" s="28">
        <f t="shared" si="77"/>
        <v>2474</v>
      </c>
      <c r="I94" s="26">
        <v>300</v>
      </c>
      <c r="J94" s="26">
        <v>0</v>
      </c>
      <c r="K94" s="29">
        <f t="shared" si="78"/>
        <v>2774</v>
      </c>
      <c r="L94" s="119">
        <v>4374</v>
      </c>
      <c r="M94" s="34">
        <f t="shared" ref="M94:M153" si="79">L94-K94</f>
        <v>1600</v>
      </c>
      <c r="N94" s="35">
        <f t="shared" si="72"/>
        <v>1.5767844268204758</v>
      </c>
      <c r="O94" s="34">
        <v>0</v>
      </c>
      <c r="P94" s="92">
        <f t="shared" si="73"/>
        <v>4374</v>
      </c>
      <c r="Q94" s="34">
        <v>560</v>
      </c>
      <c r="R94" s="35">
        <v>0</v>
      </c>
      <c r="S94" s="57">
        <f>SUM(P94:R94)</f>
        <v>4934</v>
      </c>
      <c r="T94" s="57">
        <v>0</v>
      </c>
      <c r="U94" s="57">
        <v>0</v>
      </c>
      <c r="V94" s="59">
        <v>0</v>
      </c>
      <c r="W94" s="29">
        <f t="shared" si="24"/>
        <v>4934</v>
      </c>
      <c r="X94" s="119">
        <v>4894</v>
      </c>
      <c r="Y94" s="34">
        <f t="shared" si="75"/>
        <v>-40</v>
      </c>
      <c r="Z94" s="213">
        <f t="shared" si="76"/>
        <v>0.99189298743413057</v>
      </c>
      <c r="AA94" s="191"/>
    </row>
    <row r="95" spans="1:27" ht="15" customHeight="1" x14ac:dyDescent="0.25">
      <c r="A95" s="117" t="s">
        <v>109</v>
      </c>
      <c r="B95" s="113"/>
      <c r="C95" s="34"/>
      <c r="D95" s="27"/>
      <c r="E95" s="26"/>
      <c r="F95" s="26"/>
      <c r="G95" s="26"/>
      <c r="H95" s="28"/>
      <c r="I95" s="26"/>
      <c r="J95" s="26"/>
      <c r="K95" s="29"/>
      <c r="L95" s="119">
        <v>0</v>
      </c>
      <c r="M95" s="34"/>
      <c r="N95" s="35"/>
      <c r="O95" s="34">
        <f>792.51</f>
        <v>792.51</v>
      </c>
      <c r="P95" s="92">
        <f t="shared" si="73"/>
        <v>792.51</v>
      </c>
      <c r="Q95" s="34">
        <v>0</v>
      </c>
      <c r="R95" s="35">
        <v>0</v>
      </c>
      <c r="S95" s="57">
        <f t="shared" si="74"/>
        <v>792.51</v>
      </c>
      <c r="T95" s="57">
        <v>0</v>
      </c>
      <c r="U95" s="57">
        <v>0</v>
      </c>
      <c r="V95" s="59">
        <v>0</v>
      </c>
      <c r="W95" s="29">
        <f t="shared" si="24"/>
        <v>792.51</v>
      </c>
      <c r="X95" s="119">
        <v>0</v>
      </c>
      <c r="Y95" s="34">
        <f t="shared" si="75"/>
        <v>-792.51</v>
      </c>
      <c r="Z95" s="213">
        <f t="shared" si="76"/>
        <v>0</v>
      </c>
    </row>
    <row r="96" spans="1:27" ht="17.25" customHeight="1" x14ac:dyDescent="0.25">
      <c r="A96" s="32" t="s">
        <v>110</v>
      </c>
      <c r="B96" s="113" t="s">
        <v>350</v>
      </c>
      <c r="C96" s="34">
        <v>6417</v>
      </c>
      <c r="D96" s="27">
        <v>0</v>
      </c>
      <c r="E96" s="26">
        <f t="shared" si="69"/>
        <v>6417</v>
      </c>
      <c r="F96" s="26">
        <v>510</v>
      </c>
      <c r="G96" s="26">
        <v>0</v>
      </c>
      <c r="H96" s="28">
        <f t="shared" si="77"/>
        <v>6927</v>
      </c>
      <c r="I96" s="26">
        <v>250</v>
      </c>
      <c r="J96" s="26">
        <v>0</v>
      </c>
      <c r="K96" s="29">
        <f t="shared" si="78"/>
        <v>7177</v>
      </c>
      <c r="L96" s="119">
        <v>8254</v>
      </c>
      <c r="M96" s="34">
        <f t="shared" si="79"/>
        <v>1077</v>
      </c>
      <c r="N96" s="35">
        <f t="shared" si="72"/>
        <v>1.1500627002926014</v>
      </c>
      <c r="O96" s="34">
        <v>0</v>
      </c>
      <c r="P96" s="92">
        <f t="shared" si="73"/>
        <v>8254</v>
      </c>
      <c r="Q96" s="34">
        <v>518</v>
      </c>
      <c r="R96" s="35">
        <v>0</v>
      </c>
      <c r="S96" s="57">
        <f t="shared" si="74"/>
        <v>8772</v>
      </c>
      <c r="T96" s="57">
        <v>1065</v>
      </c>
      <c r="U96" s="57">
        <v>0</v>
      </c>
      <c r="V96" s="59">
        <v>0</v>
      </c>
      <c r="W96" s="29">
        <f t="shared" ref="W96:W169" si="80">SUM(S96:V96)</f>
        <v>9837</v>
      </c>
      <c r="X96" s="119">
        <v>9231</v>
      </c>
      <c r="Y96" s="34">
        <f t="shared" si="75"/>
        <v>-606</v>
      </c>
      <c r="Z96" s="213">
        <f t="shared" si="76"/>
        <v>0.93839585239402257</v>
      </c>
    </row>
    <row r="97" spans="1:26" ht="17.25" customHeight="1" x14ac:dyDescent="0.25">
      <c r="A97" s="32" t="s">
        <v>111</v>
      </c>
      <c r="B97" s="113"/>
      <c r="C97" s="34"/>
      <c r="D97" s="27"/>
      <c r="E97" s="26"/>
      <c r="F97" s="26"/>
      <c r="G97" s="26"/>
      <c r="H97" s="28"/>
      <c r="I97" s="26"/>
      <c r="J97" s="26"/>
      <c r="K97" s="29"/>
      <c r="L97" s="119">
        <v>0</v>
      </c>
      <c r="M97" s="34"/>
      <c r="N97" s="35"/>
      <c r="O97" s="34"/>
      <c r="P97" s="92">
        <v>0</v>
      </c>
      <c r="Q97" s="34">
        <v>0</v>
      </c>
      <c r="R97" s="35">
        <f>4252.94</f>
        <v>4252.9399999999996</v>
      </c>
      <c r="S97" s="57">
        <f>SUM(P97:R97)</f>
        <v>4252.9399999999996</v>
      </c>
      <c r="T97" s="57">
        <v>0</v>
      </c>
      <c r="U97" s="57">
        <v>0</v>
      </c>
      <c r="V97" s="59">
        <v>0</v>
      </c>
      <c r="W97" s="29">
        <f t="shared" si="80"/>
        <v>4252.9399999999996</v>
      </c>
      <c r="X97" s="119">
        <v>0</v>
      </c>
      <c r="Y97" s="34">
        <f t="shared" si="75"/>
        <v>-4252.9399999999996</v>
      </c>
      <c r="Z97" s="213">
        <f t="shared" si="76"/>
        <v>0</v>
      </c>
    </row>
    <row r="98" spans="1:26" ht="15" customHeight="1" x14ac:dyDescent="0.25">
      <c r="A98" s="32" t="s">
        <v>112</v>
      </c>
      <c r="B98" s="113" t="s">
        <v>350</v>
      </c>
      <c r="C98" s="34">
        <v>6103</v>
      </c>
      <c r="D98" s="27">
        <v>0</v>
      </c>
      <c r="E98" s="26">
        <f t="shared" si="69"/>
        <v>6103</v>
      </c>
      <c r="F98" s="26">
        <v>314</v>
      </c>
      <c r="G98" s="26">
        <v>0</v>
      </c>
      <c r="H98" s="28">
        <f t="shared" si="77"/>
        <v>6417</v>
      </c>
      <c r="I98" s="26">
        <v>0</v>
      </c>
      <c r="J98" s="26">
        <v>0</v>
      </c>
      <c r="K98" s="29">
        <f t="shared" si="78"/>
        <v>6417</v>
      </c>
      <c r="L98" s="119">
        <v>7698</v>
      </c>
      <c r="M98" s="34">
        <f t="shared" si="79"/>
        <v>1281</v>
      </c>
      <c r="N98" s="35">
        <f t="shared" si="72"/>
        <v>1.1996259934548854</v>
      </c>
      <c r="O98" s="34">
        <v>0</v>
      </c>
      <c r="P98" s="92">
        <f t="shared" si="73"/>
        <v>7698</v>
      </c>
      <c r="Q98" s="34">
        <v>191</v>
      </c>
      <c r="R98" s="35">
        <v>0</v>
      </c>
      <c r="S98" s="57">
        <f t="shared" si="74"/>
        <v>7889</v>
      </c>
      <c r="T98" s="57">
        <v>0</v>
      </c>
      <c r="U98" s="57">
        <v>0</v>
      </c>
      <c r="V98" s="59">
        <v>0</v>
      </c>
      <c r="W98" s="29">
        <f t="shared" si="80"/>
        <v>7889</v>
      </c>
      <c r="X98" s="119">
        <v>7728</v>
      </c>
      <c r="Y98" s="34">
        <f t="shared" si="75"/>
        <v>-161</v>
      </c>
      <c r="Z98" s="213">
        <f t="shared" si="76"/>
        <v>0.97959183673469385</v>
      </c>
    </row>
    <row r="99" spans="1:26" ht="15" customHeight="1" x14ac:dyDescent="0.25">
      <c r="A99" s="24" t="s">
        <v>338</v>
      </c>
      <c r="B99" s="113"/>
      <c r="C99" s="34"/>
      <c r="D99" s="27"/>
      <c r="E99" s="26"/>
      <c r="F99" s="26"/>
      <c r="G99" s="26"/>
      <c r="H99" s="28"/>
      <c r="I99" s="26"/>
      <c r="J99" s="26"/>
      <c r="K99" s="29"/>
      <c r="L99" s="119">
        <v>0</v>
      </c>
      <c r="M99" s="34"/>
      <c r="N99" s="35"/>
      <c r="O99" s="34"/>
      <c r="P99" s="92"/>
      <c r="Q99" s="34"/>
      <c r="R99" s="35"/>
      <c r="S99" s="57">
        <v>0</v>
      </c>
      <c r="T99" s="57">
        <v>0</v>
      </c>
      <c r="U99" s="57">
        <v>0</v>
      </c>
      <c r="V99" s="59">
        <f>75</f>
        <v>75</v>
      </c>
      <c r="W99" s="29">
        <f>SUM(S99:V99)</f>
        <v>75</v>
      </c>
      <c r="X99" s="119">
        <v>0</v>
      </c>
      <c r="Y99" s="34">
        <f t="shared" si="75"/>
        <v>-75</v>
      </c>
      <c r="Z99" s="213">
        <f t="shared" si="76"/>
        <v>0</v>
      </c>
    </row>
    <row r="100" spans="1:26" x14ac:dyDescent="0.25">
      <c r="A100" s="117" t="s">
        <v>113</v>
      </c>
      <c r="B100" s="113" t="s">
        <v>350</v>
      </c>
      <c r="C100" s="34">
        <v>2341</v>
      </c>
      <c r="D100" s="27">
        <v>0</v>
      </c>
      <c r="E100" s="26">
        <f t="shared" si="69"/>
        <v>2341</v>
      </c>
      <c r="F100" s="26">
        <v>100</v>
      </c>
      <c r="G100" s="26">
        <v>0</v>
      </c>
      <c r="H100" s="28">
        <f t="shared" si="77"/>
        <v>2441</v>
      </c>
      <c r="I100" s="26">
        <v>100</v>
      </c>
      <c r="J100" s="26">
        <v>0</v>
      </c>
      <c r="K100" s="29">
        <f t="shared" si="78"/>
        <v>2541</v>
      </c>
      <c r="L100" s="119">
        <v>2232</v>
      </c>
      <c r="M100" s="34">
        <f t="shared" si="79"/>
        <v>-309</v>
      </c>
      <c r="N100" s="35">
        <f t="shared" si="72"/>
        <v>0.87839433293978753</v>
      </c>
      <c r="O100" s="34">
        <v>0</v>
      </c>
      <c r="P100" s="92">
        <f t="shared" si="73"/>
        <v>2232</v>
      </c>
      <c r="Q100" s="34">
        <v>102</v>
      </c>
      <c r="R100" s="35">
        <v>0</v>
      </c>
      <c r="S100" s="57">
        <f t="shared" si="74"/>
        <v>2334</v>
      </c>
      <c r="T100" s="57">
        <v>0</v>
      </c>
      <c r="U100" s="57">
        <v>0</v>
      </c>
      <c r="V100" s="59">
        <v>0</v>
      </c>
      <c r="W100" s="29">
        <f t="shared" si="80"/>
        <v>2334</v>
      </c>
      <c r="X100" s="119">
        <v>2224</v>
      </c>
      <c r="Y100" s="34">
        <f t="shared" si="75"/>
        <v>-110</v>
      </c>
      <c r="Z100" s="213">
        <f t="shared" si="76"/>
        <v>0.95287060839760074</v>
      </c>
    </row>
    <row r="101" spans="1:26" x14ac:dyDescent="0.25">
      <c r="A101" s="117" t="s">
        <v>114</v>
      </c>
      <c r="B101" s="113"/>
      <c r="C101" s="34"/>
      <c r="D101" s="27"/>
      <c r="E101" s="26"/>
      <c r="F101" s="26"/>
      <c r="G101" s="26"/>
      <c r="H101" s="28"/>
      <c r="I101" s="26"/>
      <c r="J101" s="26"/>
      <c r="K101" s="29"/>
      <c r="L101" s="119">
        <v>0</v>
      </c>
      <c r="M101" s="34"/>
      <c r="N101" s="35"/>
      <c r="O101" s="34"/>
      <c r="P101" s="92"/>
      <c r="Q101" s="34"/>
      <c r="R101" s="35"/>
      <c r="S101" s="57">
        <v>0</v>
      </c>
      <c r="T101" s="57">
        <v>0</v>
      </c>
      <c r="U101" s="57">
        <v>0</v>
      </c>
      <c r="V101" s="59">
        <f>1162.18</f>
        <v>1162.18</v>
      </c>
      <c r="W101" s="29">
        <f>SUM(S101:V101)</f>
        <v>1162.18</v>
      </c>
      <c r="X101" s="119">
        <v>0</v>
      </c>
      <c r="Y101" s="34">
        <f t="shared" si="75"/>
        <v>-1162.18</v>
      </c>
      <c r="Z101" s="213">
        <f t="shared" si="76"/>
        <v>0</v>
      </c>
    </row>
    <row r="102" spans="1:26" x14ac:dyDescent="0.25">
      <c r="A102" s="114" t="s">
        <v>115</v>
      </c>
      <c r="B102" s="113" t="s">
        <v>350</v>
      </c>
      <c r="C102" s="34">
        <v>4048</v>
      </c>
      <c r="D102" s="27">
        <v>0</v>
      </c>
      <c r="E102" s="26">
        <f t="shared" si="69"/>
        <v>4048</v>
      </c>
      <c r="F102" s="26">
        <v>224</v>
      </c>
      <c r="G102" s="26">
        <v>0</v>
      </c>
      <c r="H102" s="28">
        <f t="shared" si="77"/>
        <v>4272</v>
      </c>
      <c r="I102" s="26">
        <v>0</v>
      </c>
      <c r="J102" s="26">
        <v>0</v>
      </c>
      <c r="K102" s="29">
        <f t="shared" si="78"/>
        <v>4272</v>
      </c>
      <c r="L102" s="119">
        <v>5122</v>
      </c>
      <c r="M102" s="34">
        <f t="shared" si="79"/>
        <v>850</v>
      </c>
      <c r="N102" s="35">
        <f t="shared" si="72"/>
        <v>1.1989700374531835</v>
      </c>
      <c r="O102" s="34">
        <v>0</v>
      </c>
      <c r="P102" s="92">
        <f t="shared" si="73"/>
        <v>5122</v>
      </c>
      <c r="Q102" s="34">
        <v>294</v>
      </c>
      <c r="R102" s="35">
        <v>0</v>
      </c>
      <c r="S102" s="57">
        <f t="shared" si="74"/>
        <v>5416</v>
      </c>
      <c r="T102" s="57">
        <v>0</v>
      </c>
      <c r="U102" s="57">
        <v>0</v>
      </c>
      <c r="V102" s="59">
        <v>0</v>
      </c>
      <c r="W102" s="29">
        <f t="shared" si="80"/>
        <v>5416</v>
      </c>
      <c r="X102" s="119">
        <v>5122</v>
      </c>
      <c r="Y102" s="34">
        <f t="shared" si="75"/>
        <v>-294</v>
      </c>
      <c r="Z102" s="213">
        <f t="shared" si="76"/>
        <v>0.94571639586410639</v>
      </c>
    </row>
    <row r="103" spans="1:26" ht="15.75" customHeight="1" x14ac:dyDescent="0.25">
      <c r="A103" s="32" t="s">
        <v>116</v>
      </c>
      <c r="B103" s="113" t="s">
        <v>350</v>
      </c>
      <c r="C103" s="34">
        <v>10059</v>
      </c>
      <c r="D103" s="27">
        <v>0</v>
      </c>
      <c r="E103" s="26">
        <f t="shared" si="69"/>
        <v>10059</v>
      </c>
      <c r="F103" s="26">
        <v>564</v>
      </c>
      <c r="G103" s="26">
        <v>0</v>
      </c>
      <c r="H103" s="28">
        <f t="shared" si="77"/>
        <v>10623</v>
      </c>
      <c r="I103" s="26">
        <v>-784</v>
      </c>
      <c r="J103" s="26">
        <v>0</v>
      </c>
      <c r="K103" s="29">
        <f t="shared" si="78"/>
        <v>9839</v>
      </c>
      <c r="L103" s="119">
        <v>14843</v>
      </c>
      <c r="M103" s="34">
        <f t="shared" si="79"/>
        <v>5004</v>
      </c>
      <c r="N103" s="35">
        <f t="shared" si="72"/>
        <v>1.5085882711657688</v>
      </c>
      <c r="O103" s="34">
        <v>0</v>
      </c>
      <c r="P103" s="92">
        <f t="shared" si="73"/>
        <v>14843</v>
      </c>
      <c r="Q103" s="34">
        <v>199</v>
      </c>
      <c r="R103" s="35">
        <v>0</v>
      </c>
      <c r="S103" s="57">
        <f t="shared" si="74"/>
        <v>15042</v>
      </c>
      <c r="T103" s="57">
        <v>0</v>
      </c>
      <c r="U103" s="57">
        <v>0</v>
      </c>
      <c r="V103" s="59">
        <v>0</v>
      </c>
      <c r="W103" s="29">
        <f t="shared" si="80"/>
        <v>15042</v>
      </c>
      <c r="X103" s="119">
        <v>14283</v>
      </c>
      <c r="Y103" s="34">
        <f t="shared" si="75"/>
        <v>-759</v>
      </c>
      <c r="Z103" s="213">
        <f t="shared" si="76"/>
        <v>0.94954128440366969</v>
      </c>
    </row>
    <row r="104" spans="1:26" x14ac:dyDescent="0.25">
      <c r="A104" s="114" t="s">
        <v>117</v>
      </c>
      <c r="B104" s="113" t="s">
        <v>350</v>
      </c>
      <c r="C104" s="34">
        <v>7008</v>
      </c>
      <c r="D104" s="27">
        <v>0</v>
      </c>
      <c r="E104" s="26">
        <f t="shared" si="69"/>
        <v>7008</v>
      </c>
      <c r="F104" s="26">
        <v>422</v>
      </c>
      <c r="G104" s="26">
        <v>0</v>
      </c>
      <c r="H104" s="28">
        <f t="shared" si="77"/>
        <v>7430</v>
      </c>
      <c r="I104" s="26">
        <v>0</v>
      </c>
      <c r="J104" s="26">
        <v>0</v>
      </c>
      <c r="K104" s="29">
        <f t="shared" si="78"/>
        <v>7430</v>
      </c>
      <c r="L104" s="119">
        <v>9746</v>
      </c>
      <c r="M104" s="34">
        <f t="shared" si="79"/>
        <v>2316</v>
      </c>
      <c r="N104" s="35">
        <f t="shared" si="72"/>
        <v>1.3117092866756392</v>
      </c>
      <c r="O104" s="34">
        <v>0</v>
      </c>
      <c r="P104" s="92">
        <f t="shared" si="73"/>
        <v>9746</v>
      </c>
      <c r="Q104" s="34">
        <v>413</v>
      </c>
      <c r="R104" s="35">
        <v>0</v>
      </c>
      <c r="S104" s="57">
        <f t="shared" si="74"/>
        <v>10159</v>
      </c>
      <c r="T104" s="57">
        <v>0</v>
      </c>
      <c r="U104" s="57">
        <v>0</v>
      </c>
      <c r="V104" s="59">
        <v>0</v>
      </c>
      <c r="W104" s="29">
        <f t="shared" si="80"/>
        <v>10159</v>
      </c>
      <c r="X104" s="119">
        <v>9246</v>
      </c>
      <c r="Y104" s="34">
        <f t="shared" si="75"/>
        <v>-913</v>
      </c>
      <c r="Z104" s="213">
        <f t="shared" si="76"/>
        <v>0.91012894969977365</v>
      </c>
    </row>
    <row r="105" spans="1:26" x14ac:dyDescent="0.25">
      <c r="A105" s="114" t="s">
        <v>118</v>
      </c>
      <c r="B105" s="113"/>
      <c r="C105" s="34"/>
      <c r="D105" s="27"/>
      <c r="E105" s="26"/>
      <c r="F105" s="26"/>
      <c r="G105" s="26"/>
      <c r="H105" s="28"/>
      <c r="I105" s="26"/>
      <c r="J105" s="26"/>
      <c r="K105" s="29"/>
      <c r="L105" s="119">
        <v>0</v>
      </c>
      <c r="M105" s="34"/>
      <c r="N105" s="35"/>
      <c r="O105" s="34">
        <f>3659.73</f>
        <v>3659.73</v>
      </c>
      <c r="P105" s="92">
        <f>L105+O105</f>
        <v>3659.73</v>
      </c>
      <c r="Q105" s="34">
        <v>0</v>
      </c>
      <c r="R105" s="35">
        <v>0</v>
      </c>
      <c r="S105" s="57">
        <f t="shared" si="74"/>
        <v>3659.73</v>
      </c>
      <c r="T105" s="57">
        <v>0</v>
      </c>
      <c r="U105" s="57">
        <v>0</v>
      </c>
      <c r="V105" s="59">
        <v>0</v>
      </c>
      <c r="W105" s="29">
        <f t="shared" si="80"/>
        <v>3659.73</v>
      </c>
      <c r="X105" s="119">
        <v>0</v>
      </c>
      <c r="Y105" s="34">
        <f t="shared" si="75"/>
        <v>-3659.73</v>
      </c>
      <c r="Z105" s="213">
        <f t="shared" si="76"/>
        <v>0</v>
      </c>
    </row>
    <row r="106" spans="1:26" x14ac:dyDescent="0.25">
      <c r="A106" s="114" t="s">
        <v>119</v>
      </c>
      <c r="B106" s="113" t="s">
        <v>350</v>
      </c>
      <c r="C106" s="34">
        <v>9244</v>
      </c>
      <c r="D106" s="27">
        <v>0</v>
      </c>
      <c r="E106" s="26">
        <f t="shared" si="69"/>
        <v>9244</v>
      </c>
      <c r="F106" s="26">
        <v>323</v>
      </c>
      <c r="G106" s="26">
        <v>0</v>
      </c>
      <c r="H106" s="28">
        <f t="shared" si="77"/>
        <v>9567</v>
      </c>
      <c r="I106" s="26">
        <v>0</v>
      </c>
      <c r="J106" s="26">
        <v>0</v>
      </c>
      <c r="K106" s="29">
        <f t="shared" si="78"/>
        <v>9567</v>
      </c>
      <c r="L106" s="119">
        <v>10173</v>
      </c>
      <c r="M106" s="34">
        <f t="shared" si="79"/>
        <v>606</v>
      </c>
      <c r="N106" s="35">
        <f t="shared" si="72"/>
        <v>1.0633427406710567</v>
      </c>
      <c r="O106" s="34">
        <v>0</v>
      </c>
      <c r="P106" s="92">
        <f t="shared" si="73"/>
        <v>10173</v>
      </c>
      <c r="Q106" s="34">
        <v>328</v>
      </c>
      <c r="R106" s="35">
        <v>0</v>
      </c>
      <c r="S106" s="57">
        <f>SUM(P106:R106)</f>
        <v>10501</v>
      </c>
      <c r="T106" s="57">
        <v>0</v>
      </c>
      <c r="U106" s="57">
        <v>0</v>
      </c>
      <c r="V106" s="59">
        <v>0</v>
      </c>
      <c r="W106" s="29">
        <f t="shared" si="80"/>
        <v>10501</v>
      </c>
      <c r="X106" s="119">
        <v>10173</v>
      </c>
      <c r="Y106" s="34">
        <f t="shared" si="75"/>
        <v>-328</v>
      </c>
      <c r="Z106" s="213">
        <f t="shared" si="76"/>
        <v>0.96876487953528234</v>
      </c>
    </row>
    <row r="107" spans="1:26" x14ac:dyDescent="0.25">
      <c r="A107" s="114" t="s">
        <v>120</v>
      </c>
      <c r="B107" s="113"/>
      <c r="C107" s="34"/>
      <c r="D107" s="27"/>
      <c r="E107" s="26"/>
      <c r="F107" s="26"/>
      <c r="G107" s="26"/>
      <c r="H107" s="28"/>
      <c r="I107" s="26"/>
      <c r="J107" s="26"/>
      <c r="K107" s="29"/>
      <c r="L107" s="119">
        <v>0</v>
      </c>
      <c r="M107" s="34"/>
      <c r="N107" s="35"/>
      <c r="O107" s="34"/>
      <c r="P107" s="92"/>
      <c r="Q107" s="34"/>
      <c r="R107" s="35"/>
      <c r="S107" s="57">
        <v>0</v>
      </c>
      <c r="T107" s="57">
        <v>0</v>
      </c>
      <c r="U107" s="57">
        <v>0</v>
      </c>
      <c r="V107" s="59">
        <f>3253.81</f>
        <v>3253.81</v>
      </c>
      <c r="W107" s="29">
        <f>SUM(S107:V107)</f>
        <v>3253.81</v>
      </c>
      <c r="X107" s="119">
        <v>0</v>
      </c>
      <c r="Y107" s="34">
        <f t="shared" si="75"/>
        <v>-3253.81</v>
      </c>
      <c r="Z107" s="213">
        <f t="shared" si="76"/>
        <v>0</v>
      </c>
    </row>
    <row r="108" spans="1:26" x14ac:dyDescent="0.25">
      <c r="A108" s="114" t="s">
        <v>121</v>
      </c>
      <c r="B108" s="113" t="s">
        <v>350</v>
      </c>
      <c r="C108" s="34">
        <v>6269</v>
      </c>
      <c r="D108" s="27">
        <v>0</v>
      </c>
      <c r="E108" s="26">
        <f t="shared" si="69"/>
        <v>6269</v>
      </c>
      <c r="F108" s="26">
        <v>467</v>
      </c>
      <c r="G108" s="26">
        <v>0</v>
      </c>
      <c r="H108" s="28">
        <f t="shared" si="77"/>
        <v>6736</v>
      </c>
      <c r="I108" s="26">
        <v>0</v>
      </c>
      <c r="J108" s="26">
        <v>0</v>
      </c>
      <c r="K108" s="29">
        <f t="shared" si="78"/>
        <v>6736</v>
      </c>
      <c r="L108" s="119">
        <v>7870</v>
      </c>
      <c r="M108" s="34">
        <f t="shared" si="79"/>
        <v>1134</v>
      </c>
      <c r="N108" s="35">
        <f t="shared" si="72"/>
        <v>1.1683491686460807</v>
      </c>
      <c r="O108" s="34">
        <v>0</v>
      </c>
      <c r="P108" s="92">
        <f t="shared" si="73"/>
        <v>7870</v>
      </c>
      <c r="Q108" s="34">
        <v>154</v>
      </c>
      <c r="R108" s="35">
        <v>0</v>
      </c>
      <c r="S108" s="57">
        <f t="shared" si="74"/>
        <v>8024</v>
      </c>
      <c r="T108" s="57">
        <v>0</v>
      </c>
      <c r="U108" s="57">
        <v>0</v>
      </c>
      <c r="V108" s="59">
        <v>0</v>
      </c>
      <c r="W108" s="29">
        <f t="shared" si="80"/>
        <v>8024</v>
      </c>
      <c r="X108" s="119">
        <v>7853</v>
      </c>
      <c r="Y108" s="34">
        <f t="shared" si="75"/>
        <v>-171</v>
      </c>
      <c r="Z108" s="213">
        <f t="shared" si="76"/>
        <v>0.97868893320039885</v>
      </c>
    </row>
    <row r="109" spans="1:26" x14ac:dyDescent="0.25">
      <c r="A109" s="114" t="s">
        <v>122</v>
      </c>
      <c r="B109" s="113" t="s">
        <v>350</v>
      </c>
      <c r="C109" s="34">
        <v>2373</v>
      </c>
      <c r="D109" s="27">
        <v>0</v>
      </c>
      <c r="E109" s="26">
        <f t="shared" si="69"/>
        <v>2373</v>
      </c>
      <c r="F109" s="26">
        <v>172</v>
      </c>
      <c r="G109" s="26">
        <v>0</v>
      </c>
      <c r="H109" s="28">
        <f t="shared" si="77"/>
        <v>2545</v>
      </c>
      <c r="I109" s="26">
        <v>0</v>
      </c>
      <c r="J109" s="26">
        <v>0</v>
      </c>
      <c r="K109" s="29">
        <f t="shared" si="78"/>
        <v>2545</v>
      </c>
      <c r="L109" s="119">
        <v>3554</v>
      </c>
      <c r="M109" s="34">
        <f t="shared" si="79"/>
        <v>1009</v>
      </c>
      <c r="N109" s="35">
        <f t="shared" si="72"/>
        <v>1.3964636542239686</v>
      </c>
      <c r="O109" s="34">
        <v>0</v>
      </c>
      <c r="P109" s="92">
        <f t="shared" si="73"/>
        <v>3554</v>
      </c>
      <c r="Q109" s="34">
        <v>153</v>
      </c>
      <c r="R109" s="35">
        <v>0</v>
      </c>
      <c r="S109" s="57">
        <f t="shared" si="74"/>
        <v>3707</v>
      </c>
      <c r="T109" s="57">
        <v>0</v>
      </c>
      <c r="U109" s="57">
        <v>0</v>
      </c>
      <c r="V109" s="59">
        <v>0</v>
      </c>
      <c r="W109" s="29">
        <f t="shared" si="80"/>
        <v>3707</v>
      </c>
      <c r="X109" s="119">
        <v>3554</v>
      </c>
      <c r="Y109" s="34">
        <f t="shared" si="75"/>
        <v>-153</v>
      </c>
      <c r="Z109" s="213">
        <f t="shared" si="76"/>
        <v>0.95872673320744539</v>
      </c>
    </row>
    <row r="110" spans="1:26" x14ac:dyDescent="0.25">
      <c r="A110" s="114" t="s">
        <v>337</v>
      </c>
      <c r="B110" s="113"/>
      <c r="C110" s="34"/>
      <c r="D110" s="27"/>
      <c r="E110" s="26"/>
      <c r="F110" s="26"/>
      <c r="G110" s="26"/>
      <c r="H110" s="28"/>
      <c r="I110" s="26"/>
      <c r="J110" s="26"/>
      <c r="K110" s="29"/>
      <c r="L110" s="119">
        <v>0</v>
      </c>
      <c r="M110" s="34"/>
      <c r="N110" s="35"/>
      <c r="O110" s="34"/>
      <c r="P110" s="92"/>
      <c r="Q110" s="34"/>
      <c r="R110" s="35"/>
      <c r="S110" s="57">
        <v>0</v>
      </c>
      <c r="T110" s="57">
        <v>0</v>
      </c>
      <c r="U110" s="57">
        <v>0</v>
      </c>
      <c r="V110" s="59">
        <f>75.7</f>
        <v>75.7</v>
      </c>
      <c r="W110" s="29">
        <f>SUM(S110:V110)</f>
        <v>75.7</v>
      </c>
      <c r="X110" s="119">
        <v>0</v>
      </c>
      <c r="Y110" s="34">
        <f t="shared" si="75"/>
        <v>-75.7</v>
      </c>
      <c r="Z110" s="213">
        <f t="shared" si="76"/>
        <v>0</v>
      </c>
    </row>
    <row r="111" spans="1:26" ht="15.75" customHeight="1" x14ac:dyDescent="0.25">
      <c r="A111" s="114" t="s">
        <v>123</v>
      </c>
      <c r="B111" s="113" t="s">
        <v>350</v>
      </c>
      <c r="C111" s="34">
        <v>1291</v>
      </c>
      <c r="D111" s="27">
        <v>0</v>
      </c>
      <c r="E111" s="26">
        <f t="shared" si="69"/>
        <v>1291</v>
      </c>
      <c r="F111" s="26">
        <v>100</v>
      </c>
      <c r="G111" s="26">
        <v>0</v>
      </c>
      <c r="H111" s="28">
        <f t="shared" si="77"/>
        <v>1391</v>
      </c>
      <c r="I111" s="26">
        <v>0</v>
      </c>
      <c r="J111" s="26">
        <v>0</v>
      </c>
      <c r="K111" s="29">
        <f t="shared" si="78"/>
        <v>1391</v>
      </c>
      <c r="L111" s="119">
        <v>1476</v>
      </c>
      <c r="M111" s="34">
        <f t="shared" si="79"/>
        <v>85</v>
      </c>
      <c r="N111" s="35">
        <f t="shared" si="72"/>
        <v>1.0611071171818836</v>
      </c>
      <c r="O111" s="34">
        <v>0</v>
      </c>
      <c r="P111" s="92">
        <f t="shared" si="73"/>
        <v>1476</v>
      </c>
      <c r="Q111" s="34">
        <v>99</v>
      </c>
      <c r="R111" s="35">
        <v>0</v>
      </c>
      <c r="S111" s="57">
        <f t="shared" si="74"/>
        <v>1575</v>
      </c>
      <c r="T111" s="57">
        <v>0</v>
      </c>
      <c r="U111" s="57">
        <v>0</v>
      </c>
      <c r="V111" s="59">
        <v>0</v>
      </c>
      <c r="W111" s="29">
        <f t="shared" si="80"/>
        <v>1575</v>
      </c>
      <c r="X111" s="119">
        <v>1575</v>
      </c>
      <c r="Y111" s="34">
        <f t="shared" si="75"/>
        <v>0</v>
      </c>
      <c r="Z111" s="213">
        <f t="shared" si="76"/>
        <v>1</v>
      </c>
    </row>
    <row r="112" spans="1:26" x14ac:dyDescent="0.25">
      <c r="A112" s="114" t="s">
        <v>124</v>
      </c>
      <c r="B112" s="113" t="s">
        <v>350</v>
      </c>
      <c r="C112" s="34">
        <v>10249</v>
      </c>
      <c r="D112" s="27">
        <v>0</v>
      </c>
      <c r="E112" s="26">
        <f t="shared" si="69"/>
        <v>10249</v>
      </c>
      <c r="F112" s="26">
        <v>458</v>
      </c>
      <c r="G112" s="26">
        <v>0</v>
      </c>
      <c r="H112" s="28">
        <f t="shared" si="77"/>
        <v>10707</v>
      </c>
      <c r="I112" s="26">
        <v>0</v>
      </c>
      <c r="J112" s="26">
        <v>0</v>
      </c>
      <c r="K112" s="29">
        <f t="shared" si="78"/>
        <v>10707</v>
      </c>
      <c r="L112" s="119">
        <v>11598</v>
      </c>
      <c r="M112" s="34">
        <f t="shared" si="79"/>
        <v>891</v>
      </c>
      <c r="N112" s="35">
        <f t="shared" si="72"/>
        <v>1.08321658727935</v>
      </c>
      <c r="O112" s="34">
        <v>0</v>
      </c>
      <c r="P112" s="92">
        <f t="shared" si="73"/>
        <v>11598</v>
      </c>
      <c r="Q112" s="34">
        <v>399</v>
      </c>
      <c r="R112" s="35">
        <v>0</v>
      </c>
      <c r="S112" s="57">
        <f t="shared" si="74"/>
        <v>11997</v>
      </c>
      <c r="T112" s="57">
        <v>121</v>
      </c>
      <c r="U112" s="57">
        <v>0</v>
      </c>
      <c r="V112" s="59">
        <v>0</v>
      </c>
      <c r="W112" s="29">
        <f t="shared" si="80"/>
        <v>12118</v>
      </c>
      <c r="X112" s="119">
        <v>11136</v>
      </c>
      <c r="Y112" s="34">
        <f t="shared" si="75"/>
        <v>-982</v>
      </c>
      <c r="Z112" s="213">
        <f t="shared" si="76"/>
        <v>0.91896352533421355</v>
      </c>
    </row>
    <row r="113" spans="1:27" x14ac:dyDescent="0.25">
      <c r="A113" s="117" t="s">
        <v>336</v>
      </c>
      <c r="B113" s="113"/>
      <c r="C113" s="34"/>
      <c r="D113" s="27"/>
      <c r="E113" s="26"/>
      <c r="F113" s="26"/>
      <c r="G113" s="26"/>
      <c r="H113" s="28"/>
      <c r="I113" s="26"/>
      <c r="J113" s="26"/>
      <c r="K113" s="29"/>
      <c r="L113" s="119">
        <v>0</v>
      </c>
      <c r="M113" s="34"/>
      <c r="N113" s="35"/>
      <c r="O113" s="34"/>
      <c r="P113" s="92"/>
      <c r="Q113" s="34"/>
      <c r="R113" s="35"/>
      <c r="S113" s="57">
        <v>0</v>
      </c>
      <c r="T113" s="57">
        <v>0</v>
      </c>
      <c r="U113" s="57">
        <v>0</v>
      </c>
      <c r="V113" s="59">
        <f>3048.52</f>
        <v>3048.52</v>
      </c>
      <c r="W113" s="29">
        <f>SUM(S113:V113)</f>
        <v>3048.52</v>
      </c>
      <c r="X113" s="119">
        <v>0</v>
      </c>
      <c r="Y113" s="34">
        <f t="shared" si="75"/>
        <v>-3048.52</v>
      </c>
      <c r="Z113" s="213">
        <f t="shared" si="76"/>
        <v>0</v>
      </c>
    </row>
    <row r="114" spans="1:27" x14ac:dyDescent="0.25">
      <c r="A114" s="117" t="s">
        <v>125</v>
      </c>
      <c r="B114" s="113" t="s">
        <v>350</v>
      </c>
      <c r="C114" s="34">
        <v>1567</v>
      </c>
      <c r="D114" s="27">
        <v>0</v>
      </c>
      <c r="E114" s="26">
        <f t="shared" si="69"/>
        <v>1567</v>
      </c>
      <c r="F114" s="26">
        <v>187</v>
      </c>
      <c r="G114" s="26">
        <v>0</v>
      </c>
      <c r="H114" s="28">
        <f t="shared" si="77"/>
        <v>1754</v>
      </c>
      <c r="I114" s="26">
        <v>0</v>
      </c>
      <c r="J114" s="26">
        <v>0</v>
      </c>
      <c r="K114" s="29">
        <f t="shared" si="78"/>
        <v>1754</v>
      </c>
      <c r="L114" s="119">
        <v>2193</v>
      </c>
      <c r="M114" s="34">
        <f t="shared" si="79"/>
        <v>439</v>
      </c>
      <c r="N114" s="35">
        <f t="shared" si="72"/>
        <v>1.2502850627137971</v>
      </c>
      <c r="O114" s="34">
        <v>0</v>
      </c>
      <c r="P114" s="92">
        <f t="shared" si="73"/>
        <v>2193</v>
      </c>
      <c r="Q114" s="34">
        <v>122</v>
      </c>
      <c r="R114" s="35">
        <v>0</v>
      </c>
      <c r="S114" s="57">
        <f t="shared" si="74"/>
        <v>2315</v>
      </c>
      <c r="T114" s="57">
        <v>0</v>
      </c>
      <c r="U114" s="57">
        <v>0</v>
      </c>
      <c r="V114" s="59">
        <v>0</v>
      </c>
      <c r="W114" s="29">
        <f t="shared" si="80"/>
        <v>2315</v>
      </c>
      <c r="X114" s="119">
        <v>2265</v>
      </c>
      <c r="Y114" s="34">
        <f t="shared" si="75"/>
        <v>-50</v>
      </c>
      <c r="Z114" s="213">
        <f t="shared" si="76"/>
        <v>0.97840172786177104</v>
      </c>
      <c r="AA114" s="191"/>
    </row>
    <row r="115" spans="1:27" x14ac:dyDescent="0.25">
      <c r="A115" s="114" t="s">
        <v>126</v>
      </c>
      <c r="B115" s="113" t="s">
        <v>350</v>
      </c>
      <c r="C115" s="34">
        <v>1647</v>
      </c>
      <c r="D115" s="27">
        <v>0</v>
      </c>
      <c r="E115" s="26">
        <f t="shared" si="69"/>
        <v>1647</v>
      </c>
      <c r="F115" s="26">
        <v>0</v>
      </c>
      <c r="G115" s="26">
        <v>0</v>
      </c>
      <c r="H115" s="28">
        <f t="shared" si="77"/>
        <v>1647</v>
      </c>
      <c r="I115" s="26">
        <v>0</v>
      </c>
      <c r="J115" s="26">
        <v>0</v>
      </c>
      <c r="K115" s="29">
        <f t="shared" si="78"/>
        <v>1647</v>
      </c>
      <c r="L115" s="119">
        <v>2082</v>
      </c>
      <c r="M115" s="34">
        <f t="shared" si="79"/>
        <v>435</v>
      </c>
      <c r="N115" s="35">
        <f t="shared" si="72"/>
        <v>1.2641165755919854</v>
      </c>
      <c r="O115" s="34">
        <v>0</v>
      </c>
      <c r="P115" s="92">
        <f t="shared" si="73"/>
        <v>2082</v>
      </c>
      <c r="Q115" s="34">
        <v>0</v>
      </c>
      <c r="R115" s="35">
        <v>0</v>
      </c>
      <c r="S115" s="57">
        <f t="shared" si="74"/>
        <v>2082</v>
      </c>
      <c r="T115" s="57">
        <v>0</v>
      </c>
      <c r="U115" s="57">
        <v>0</v>
      </c>
      <c r="V115" s="59">
        <v>0</v>
      </c>
      <c r="W115" s="29">
        <f t="shared" si="80"/>
        <v>2082</v>
      </c>
      <c r="X115" s="119">
        <v>2082</v>
      </c>
      <c r="Y115" s="34">
        <f t="shared" si="75"/>
        <v>0</v>
      </c>
      <c r="Z115" s="213">
        <f t="shared" si="76"/>
        <v>1</v>
      </c>
    </row>
    <row r="116" spans="1:27" ht="25.5" x14ac:dyDescent="0.25">
      <c r="A116" s="24" t="s">
        <v>127</v>
      </c>
      <c r="B116" s="113"/>
      <c r="C116" s="34"/>
      <c r="D116" s="27"/>
      <c r="E116" s="26"/>
      <c r="F116" s="26"/>
      <c r="G116" s="26"/>
      <c r="H116" s="28"/>
      <c r="I116" s="26"/>
      <c r="J116" s="26"/>
      <c r="K116" s="29"/>
      <c r="L116" s="119">
        <v>0</v>
      </c>
      <c r="M116" s="34"/>
      <c r="N116" s="35"/>
      <c r="O116" s="34"/>
      <c r="P116" s="92"/>
      <c r="Q116" s="34"/>
      <c r="R116" s="35"/>
      <c r="S116" s="57">
        <f>97.61</f>
        <v>97.61</v>
      </c>
      <c r="T116" s="57">
        <v>0</v>
      </c>
      <c r="U116" s="57">
        <v>0</v>
      </c>
      <c r="V116" s="59">
        <v>0</v>
      </c>
      <c r="W116" s="29">
        <f t="shared" si="80"/>
        <v>97.61</v>
      </c>
      <c r="X116" s="119">
        <v>0</v>
      </c>
      <c r="Y116" s="34">
        <f t="shared" si="75"/>
        <v>-97.61</v>
      </c>
      <c r="Z116" s="213">
        <f t="shared" si="76"/>
        <v>0</v>
      </c>
    </row>
    <row r="117" spans="1:27" ht="25.5" x14ac:dyDescent="0.25">
      <c r="A117" s="24" t="s">
        <v>128</v>
      </c>
      <c r="B117" s="113"/>
      <c r="C117" s="34"/>
      <c r="D117" s="27"/>
      <c r="E117" s="26"/>
      <c r="F117" s="26"/>
      <c r="G117" s="26"/>
      <c r="H117" s="28"/>
      <c r="I117" s="26"/>
      <c r="J117" s="26"/>
      <c r="K117" s="29"/>
      <c r="L117" s="119">
        <v>0</v>
      </c>
      <c r="M117" s="34"/>
      <c r="N117" s="35"/>
      <c r="O117" s="34"/>
      <c r="P117" s="92"/>
      <c r="Q117" s="34"/>
      <c r="R117" s="35"/>
      <c r="S117" s="57">
        <f>5.14</f>
        <v>5.14</v>
      </c>
      <c r="T117" s="57">
        <v>0</v>
      </c>
      <c r="U117" s="57">
        <v>0</v>
      </c>
      <c r="V117" s="59">
        <v>0</v>
      </c>
      <c r="W117" s="29">
        <f t="shared" si="80"/>
        <v>5.14</v>
      </c>
      <c r="X117" s="119">
        <v>0</v>
      </c>
      <c r="Y117" s="34">
        <f t="shared" si="75"/>
        <v>-5.14</v>
      </c>
      <c r="Z117" s="213">
        <f t="shared" si="76"/>
        <v>0</v>
      </c>
    </row>
    <row r="118" spans="1:27" x14ac:dyDescent="0.25">
      <c r="A118" s="117" t="s">
        <v>129</v>
      </c>
      <c r="B118" s="113" t="s">
        <v>350</v>
      </c>
      <c r="C118" s="34">
        <v>275</v>
      </c>
      <c r="D118" s="27">
        <v>0</v>
      </c>
      <c r="E118" s="26">
        <f t="shared" si="69"/>
        <v>275</v>
      </c>
      <c r="F118" s="26">
        <v>0</v>
      </c>
      <c r="G118" s="26">
        <v>0</v>
      </c>
      <c r="H118" s="28">
        <f t="shared" si="77"/>
        <v>275</v>
      </c>
      <c r="I118" s="26">
        <v>0</v>
      </c>
      <c r="J118" s="26">
        <v>0</v>
      </c>
      <c r="K118" s="29">
        <f t="shared" si="78"/>
        <v>275</v>
      </c>
      <c r="L118" s="119">
        <v>2660</v>
      </c>
      <c r="M118" s="34">
        <f t="shared" si="79"/>
        <v>2385</v>
      </c>
      <c r="N118" s="35">
        <f t="shared" si="72"/>
        <v>9.672727272727272</v>
      </c>
      <c r="O118" s="34">
        <v>0</v>
      </c>
      <c r="P118" s="92">
        <f t="shared" si="73"/>
        <v>2660</v>
      </c>
      <c r="Q118" s="34">
        <v>-2</v>
      </c>
      <c r="R118" s="35">
        <v>0</v>
      </c>
      <c r="S118" s="57">
        <f t="shared" si="74"/>
        <v>2658</v>
      </c>
      <c r="T118" s="57">
        <v>0</v>
      </c>
      <c r="U118" s="57">
        <v>0</v>
      </c>
      <c r="V118" s="59">
        <v>0</v>
      </c>
      <c r="W118" s="29">
        <f t="shared" si="80"/>
        <v>2658</v>
      </c>
      <c r="X118" s="119">
        <v>2658</v>
      </c>
      <c r="Y118" s="34">
        <f t="shared" si="75"/>
        <v>0</v>
      </c>
      <c r="Z118" s="213">
        <f t="shared" si="76"/>
        <v>1</v>
      </c>
    </row>
    <row r="119" spans="1:27" x14ac:dyDescent="0.25">
      <c r="A119" s="117" t="s">
        <v>130</v>
      </c>
      <c r="B119" s="113"/>
      <c r="C119" s="34"/>
      <c r="D119" s="27"/>
      <c r="E119" s="26"/>
      <c r="F119" s="26"/>
      <c r="G119" s="26"/>
      <c r="H119" s="28"/>
      <c r="I119" s="26"/>
      <c r="J119" s="26"/>
      <c r="K119" s="29"/>
      <c r="L119" s="119">
        <v>0</v>
      </c>
      <c r="M119" s="34"/>
      <c r="N119" s="35"/>
      <c r="O119" s="34"/>
      <c r="P119" s="92">
        <v>0</v>
      </c>
      <c r="Q119" s="34">
        <v>0</v>
      </c>
      <c r="R119" s="35">
        <f>3193.79</f>
        <v>3193.79</v>
      </c>
      <c r="S119" s="57">
        <f>SUM(P119:R119)</f>
        <v>3193.79</v>
      </c>
      <c r="T119" s="57">
        <v>0</v>
      </c>
      <c r="U119" s="57">
        <v>0</v>
      </c>
      <c r="V119" s="59">
        <v>0</v>
      </c>
      <c r="W119" s="29">
        <f t="shared" si="80"/>
        <v>3193.79</v>
      </c>
      <c r="X119" s="119">
        <v>0</v>
      </c>
      <c r="Y119" s="34">
        <f t="shared" si="75"/>
        <v>-3193.79</v>
      </c>
      <c r="Z119" s="213">
        <f t="shared" si="76"/>
        <v>0</v>
      </c>
    </row>
    <row r="120" spans="1:27" ht="15.75" customHeight="1" x14ac:dyDescent="0.25">
      <c r="A120" s="117" t="s">
        <v>131</v>
      </c>
      <c r="B120" s="113" t="s">
        <v>350</v>
      </c>
      <c r="C120" s="34">
        <v>16616</v>
      </c>
      <c r="D120" s="27">
        <v>0</v>
      </c>
      <c r="E120" s="26">
        <f t="shared" si="69"/>
        <v>16616</v>
      </c>
      <c r="F120" s="26">
        <v>0</v>
      </c>
      <c r="G120" s="26">
        <v>0</v>
      </c>
      <c r="H120" s="28">
        <f t="shared" si="77"/>
        <v>16616</v>
      </c>
      <c r="I120" s="26">
        <v>1039</v>
      </c>
      <c r="J120" s="26">
        <v>0</v>
      </c>
      <c r="K120" s="29">
        <f t="shared" si="78"/>
        <v>17655</v>
      </c>
      <c r="L120" s="119">
        <v>21396</v>
      </c>
      <c r="M120" s="34">
        <f t="shared" si="79"/>
        <v>3741</v>
      </c>
      <c r="N120" s="35">
        <f t="shared" si="72"/>
        <v>1.211894647408666</v>
      </c>
      <c r="O120" s="34">
        <v>0</v>
      </c>
      <c r="P120" s="92">
        <f t="shared" si="73"/>
        <v>21396</v>
      </c>
      <c r="Q120" s="34">
        <v>292</v>
      </c>
      <c r="R120" s="35">
        <v>0</v>
      </c>
      <c r="S120" s="57">
        <f t="shared" si="74"/>
        <v>21688</v>
      </c>
      <c r="T120" s="57">
        <v>0</v>
      </c>
      <c r="U120" s="57">
        <v>0</v>
      </c>
      <c r="V120" s="59">
        <v>0</v>
      </c>
      <c r="W120" s="29">
        <f t="shared" si="80"/>
        <v>21688</v>
      </c>
      <c r="X120" s="119">
        <v>21688</v>
      </c>
      <c r="Y120" s="34">
        <f t="shared" si="75"/>
        <v>0</v>
      </c>
      <c r="Z120" s="213">
        <f t="shared" si="76"/>
        <v>1</v>
      </c>
    </row>
    <row r="121" spans="1:27" ht="15.75" customHeight="1" x14ac:dyDescent="0.25">
      <c r="A121" s="117" t="s">
        <v>132</v>
      </c>
      <c r="B121" s="113"/>
      <c r="C121" s="34"/>
      <c r="D121" s="27"/>
      <c r="E121" s="26"/>
      <c r="F121" s="26"/>
      <c r="G121" s="26"/>
      <c r="H121" s="28"/>
      <c r="I121" s="26"/>
      <c r="J121" s="26"/>
      <c r="K121" s="29"/>
      <c r="L121" s="119">
        <v>0</v>
      </c>
      <c r="M121" s="34"/>
      <c r="N121" s="35"/>
      <c r="O121" s="34"/>
      <c r="P121" s="92">
        <v>0</v>
      </c>
      <c r="Q121" s="34">
        <v>0</v>
      </c>
      <c r="R121" s="35">
        <f>1740</f>
        <v>1740</v>
      </c>
      <c r="S121" s="57">
        <f>SUM(P121:R121)</f>
        <v>1740</v>
      </c>
      <c r="T121" s="57">
        <v>0</v>
      </c>
      <c r="U121" s="57">
        <v>0</v>
      </c>
      <c r="V121" s="59">
        <v>0</v>
      </c>
      <c r="W121" s="29">
        <f t="shared" si="80"/>
        <v>1740</v>
      </c>
      <c r="X121" s="119">
        <v>0</v>
      </c>
      <c r="Y121" s="34">
        <f t="shared" si="75"/>
        <v>-1740</v>
      </c>
      <c r="Z121" s="213">
        <f t="shared" si="76"/>
        <v>0</v>
      </c>
    </row>
    <row r="122" spans="1:27" x14ac:dyDescent="0.25">
      <c r="A122" s="114" t="s">
        <v>133</v>
      </c>
      <c r="B122" s="113" t="s">
        <v>350</v>
      </c>
      <c r="C122" s="34">
        <v>21765</v>
      </c>
      <c r="D122" s="27">
        <v>0</v>
      </c>
      <c r="E122" s="26">
        <f t="shared" si="69"/>
        <v>21765</v>
      </c>
      <c r="F122" s="26">
        <v>0</v>
      </c>
      <c r="G122" s="26">
        <v>0</v>
      </c>
      <c r="H122" s="28">
        <f t="shared" si="77"/>
        <v>21765</v>
      </c>
      <c r="I122" s="26">
        <v>0</v>
      </c>
      <c r="J122" s="26">
        <v>0</v>
      </c>
      <c r="K122" s="29">
        <f t="shared" si="78"/>
        <v>21765</v>
      </c>
      <c r="L122" s="119">
        <v>26870</v>
      </c>
      <c r="M122" s="34">
        <f t="shared" si="79"/>
        <v>5105</v>
      </c>
      <c r="N122" s="35">
        <f t="shared" si="72"/>
        <v>1.2345508844475075</v>
      </c>
      <c r="O122" s="34">
        <v>0</v>
      </c>
      <c r="P122" s="92">
        <f t="shared" si="73"/>
        <v>26870</v>
      </c>
      <c r="Q122" s="34">
        <v>-39</v>
      </c>
      <c r="R122" s="35">
        <v>0</v>
      </c>
      <c r="S122" s="57">
        <f t="shared" si="74"/>
        <v>26831</v>
      </c>
      <c r="T122" s="57">
        <v>0</v>
      </c>
      <c r="U122" s="57">
        <v>0</v>
      </c>
      <c r="V122" s="59">
        <v>0</v>
      </c>
      <c r="W122" s="29">
        <f t="shared" si="80"/>
        <v>26831</v>
      </c>
      <c r="X122" s="119">
        <v>26531</v>
      </c>
      <c r="Y122" s="34">
        <f t="shared" si="75"/>
        <v>-300</v>
      </c>
      <c r="Z122" s="213">
        <f t="shared" si="76"/>
        <v>0.9888189035071373</v>
      </c>
      <c r="AA122" s="191"/>
    </row>
    <row r="123" spans="1:27" ht="42" customHeight="1" x14ac:dyDescent="0.25">
      <c r="A123" s="32" t="s">
        <v>378</v>
      </c>
      <c r="B123" s="113"/>
      <c r="C123" s="34"/>
      <c r="D123" s="27"/>
      <c r="E123" s="26"/>
      <c r="F123" s="26"/>
      <c r="G123" s="26"/>
      <c r="H123" s="28"/>
      <c r="I123" s="26"/>
      <c r="J123" s="26"/>
      <c r="K123" s="29"/>
      <c r="L123" s="119">
        <v>0</v>
      </c>
      <c r="M123" s="34"/>
      <c r="N123" s="35"/>
      <c r="O123" s="34"/>
      <c r="P123" s="92"/>
      <c r="Q123" s="34"/>
      <c r="R123" s="35"/>
      <c r="S123" s="57"/>
      <c r="T123" s="57"/>
      <c r="U123" s="57"/>
      <c r="V123" s="59"/>
      <c r="W123" s="29">
        <v>0</v>
      </c>
      <c r="X123" s="119">
        <v>9000</v>
      </c>
      <c r="Y123" s="34">
        <f t="shared" si="75"/>
        <v>9000</v>
      </c>
      <c r="Z123" s="212" t="s">
        <v>263</v>
      </c>
      <c r="AA123" s="191"/>
    </row>
    <row r="124" spans="1:27" ht="15" customHeight="1" x14ac:dyDescent="0.25">
      <c r="A124" s="114" t="s">
        <v>134</v>
      </c>
      <c r="B124" s="113" t="s">
        <v>350</v>
      </c>
      <c r="C124" s="34">
        <v>400</v>
      </c>
      <c r="D124" s="27">
        <v>0</v>
      </c>
      <c r="E124" s="26">
        <f t="shared" si="69"/>
        <v>400</v>
      </c>
      <c r="F124" s="26">
        <v>0</v>
      </c>
      <c r="G124" s="26">
        <v>0</v>
      </c>
      <c r="H124" s="28">
        <f t="shared" si="77"/>
        <v>400</v>
      </c>
      <c r="I124" s="26">
        <v>0</v>
      </c>
      <c r="J124" s="26">
        <v>0</v>
      </c>
      <c r="K124" s="29">
        <f t="shared" si="78"/>
        <v>400</v>
      </c>
      <c r="L124" s="119">
        <v>400</v>
      </c>
      <c r="M124" s="34">
        <f t="shared" si="79"/>
        <v>0</v>
      </c>
      <c r="N124" s="35">
        <f t="shared" si="72"/>
        <v>1</v>
      </c>
      <c r="O124" s="34">
        <v>0</v>
      </c>
      <c r="P124" s="92">
        <f t="shared" si="73"/>
        <v>400</v>
      </c>
      <c r="Q124" s="34">
        <v>0</v>
      </c>
      <c r="R124" s="35">
        <v>0</v>
      </c>
      <c r="S124" s="57">
        <f t="shared" si="74"/>
        <v>400</v>
      </c>
      <c r="T124" s="57">
        <v>0</v>
      </c>
      <c r="U124" s="57">
        <v>0</v>
      </c>
      <c r="V124" s="59">
        <v>0</v>
      </c>
      <c r="W124" s="29">
        <f t="shared" si="80"/>
        <v>400</v>
      </c>
      <c r="X124" s="119">
        <v>400</v>
      </c>
      <c r="Y124" s="34">
        <f t="shared" si="75"/>
        <v>0</v>
      </c>
      <c r="Z124" s="213">
        <f t="shared" si="76"/>
        <v>1</v>
      </c>
    </row>
    <row r="125" spans="1:27" ht="26.25" customHeight="1" x14ac:dyDescent="0.25">
      <c r="A125" s="24" t="s">
        <v>135</v>
      </c>
      <c r="B125" s="113"/>
      <c r="C125" s="34"/>
      <c r="D125" s="27"/>
      <c r="E125" s="26"/>
      <c r="F125" s="26"/>
      <c r="G125" s="26"/>
      <c r="H125" s="28"/>
      <c r="I125" s="26"/>
      <c r="J125" s="26"/>
      <c r="K125" s="29"/>
      <c r="L125" s="119">
        <v>0</v>
      </c>
      <c r="M125" s="34"/>
      <c r="N125" s="35"/>
      <c r="O125" s="34"/>
      <c r="P125" s="92">
        <v>0</v>
      </c>
      <c r="Q125" s="34">
        <v>0</v>
      </c>
      <c r="R125" s="35">
        <f>50</f>
        <v>50</v>
      </c>
      <c r="S125" s="57">
        <f>SUM(P125:R125)</f>
        <v>50</v>
      </c>
      <c r="T125" s="57">
        <v>0</v>
      </c>
      <c r="U125" s="57">
        <v>0</v>
      </c>
      <c r="V125" s="59">
        <v>0</v>
      </c>
      <c r="W125" s="29">
        <f t="shared" si="80"/>
        <v>50</v>
      </c>
      <c r="X125" s="119">
        <v>0</v>
      </c>
      <c r="Y125" s="34">
        <f t="shared" si="75"/>
        <v>-50</v>
      </c>
      <c r="Z125" s="213">
        <f t="shared" si="76"/>
        <v>0</v>
      </c>
    </row>
    <row r="126" spans="1:27" ht="15" customHeight="1" x14ac:dyDescent="0.25">
      <c r="A126" s="24" t="s">
        <v>136</v>
      </c>
      <c r="B126" s="113" t="s">
        <v>350</v>
      </c>
      <c r="C126" s="34">
        <v>137.4</v>
      </c>
      <c r="D126" s="27">
        <v>0</v>
      </c>
      <c r="E126" s="26">
        <f t="shared" si="69"/>
        <v>137.4</v>
      </c>
      <c r="F126" s="26">
        <v>0</v>
      </c>
      <c r="G126" s="26">
        <v>0</v>
      </c>
      <c r="H126" s="28">
        <f t="shared" si="77"/>
        <v>137.4</v>
      </c>
      <c r="I126" s="26">
        <v>0</v>
      </c>
      <c r="J126" s="26">
        <v>0</v>
      </c>
      <c r="K126" s="29">
        <f t="shared" si="78"/>
        <v>137.4</v>
      </c>
      <c r="L126" s="119">
        <v>139.94999999999999</v>
      </c>
      <c r="M126" s="34">
        <f t="shared" si="79"/>
        <v>2.5499999999999829</v>
      </c>
      <c r="N126" s="35">
        <f t="shared" si="72"/>
        <v>1.0185589519650653</v>
      </c>
      <c r="O126" s="34">
        <v>0</v>
      </c>
      <c r="P126" s="92">
        <f t="shared" si="73"/>
        <v>139.94999999999999</v>
      </c>
      <c r="Q126" s="34">
        <v>0</v>
      </c>
      <c r="R126" s="35">
        <v>0</v>
      </c>
      <c r="S126" s="57">
        <f t="shared" si="74"/>
        <v>139.94999999999999</v>
      </c>
      <c r="T126" s="57">
        <v>0</v>
      </c>
      <c r="U126" s="57">
        <v>0</v>
      </c>
      <c r="V126" s="59">
        <v>0</v>
      </c>
      <c r="W126" s="29">
        <f t="shared" si="80"/>
        <v>139.94999999999999</v>
      </c>
      <c r="X126" s="119">
        <v>85</v>
      </c>
      <c r="Y126" s="34">
        <f t="shared" si="75"/>
        <v>-54.949999999999989</v>
      </c>
      <c r="Z126" s="213">
        <f t="shared" si="76"/>
        <v>0.60735977134690966</v>
      </c>
    </row>
    <row r="127" spans="1:27" ht="15" customHeight="1" x14ac:dyDescent="0.25">
      <c r="A127" s="24" t="s">
        <v>137</v>
      </c>
      <c r="B127" s="113" t="s">
        <v>372</v>
      </c>
      <c r="C127" s="34">
        <v>0</v>
      </c>
      <c r="D127" s="27"/>
      <c r="E127" s="26"/>
      <c r="F127" s="26"/>
      <c r="G127" s="26"/>
      <c r="H127" s="28"/>
      <c r="I127" s="26"/>
      <c r="J127" s="26"/>
      <c r="K127" s="29">
        <v>0</v>
      </c>
      <c r="L127" s="119">
        <v>1250</v>
      </c>
      <c r="M127" s="34">
        <f>L127-K127</f>
        <v>1250</v>
      </c>
      <c r="N127" s="92" t="s">
        <v>39</v>
      </c>
      <c r="O127" s="57">
        <v>0</v>
      </c>
      <c r="P127" s="92">
        <f t="shared" si="73"/>
        <v>1250</v>
      </c>
      <c r="Q127" s="57">
        <v>0</v>
      </c>
      <c r="R127" s="92">
        <v>0</v>
      </c>
      <c r="S127" s="57">
        <f t="shared" si="74"/>
        <v>1250</v>
      </c>
      <c r="T127" s="57">
        <v>0</v>
      </c>
      <c r="U127" s="57">
        <v>0</v>
      </c>
      <c r="V127" s="59">
        <v>0</v>
      </c>
      <c r="W127" s="29">
        <f t="shared" si="80"/>
        <v>1250</v>
      </c>
      <c r="X127" s="119">
        <v>1350</v>
      </c>
      <c r="Y127" s="34">
        <f t="shared" si="75"/>
        <v>100</v>
      </c>
      <c r="Z127" s="213">
        <f t="shared" si="76"/>
        <v>1.08</v>
      </c>
    </row>
    <row r="128" spans="1:27" ht="15" customHeight="1" x14ac:dyDescent="0.25">
      <c r="A128" s="24" t="s">
        <v>138</v>
      </c>
      <c r="B128" s="113" t="s">
        <v>372</v>
      </c>
      <c r="C128" s="34">
        <v>0</v>
      </c>
      <c r="D128" s="27"/>
      <c r="E128" s="26"/>
      <c r="F128" s="26"/>
      <c r="G128" s="26"/>
      <c r="H128" s="28"/>
      <c r="I128" s="26"/>
      <c r="J128" s="26"/>
      <c r="K128" s="29">
        <v>0</v>
      </c>
      <c r="L128" s="119">
        <v>1250</v>
      </c>
      <c r="M128" s="34">
        <f>L128-K128</f>
        <v>1250</v>
      </c>
      <c r="N128" s="92" t="s">
        <v>39</v>
      </c>
      <c r="O128" s="57">
        <v>0</v>
      </c>
      <c r="P128" s="92">
        <f t="shared" si="73"/>
        <v>1250</v>
      </c>
      <c r="Q128" s="57">
        <v>0</v>
      </c>
      <c r="R128" s="92">
        <v>0</v>
      </c>
      <c r="S128" s="57">
        <f t="shared" si="74"/>
        <v>1250</v>
      </c>
      <c r="T128" s="57">
        <v>0</v>
      </c>
      <c r="U128" s="57">
        <v>0</v>
      </c>
      <c r="V128" s="59">
        <v>0</v>
      </c>
      <c r="W128" s="29">
        <f t="shared" si="80"/>
        <v>1250</v>
      </c>
      <c r="X128" s="119">
        <v>1900</v>
      </c>
      <c r="Y128" s="34">
        <f t="shared" si="75"/>
        <v>650</v>
      </c>
      <c r="Z128" s="213">
        <f t="shared" si="76"/>
        <v>1.52</v>
      </c>
    </row>
    <row r="129" spans="1:27" ht="25.5" customHeight="1" x14ac:dyDescent="0.25">
      <c r="A129" s="24" t="s">
        <v>139</v>
      </c>
      <c r="B129" s="113" t="s">
        <v>372</v>
      </c>
      <c r="C129" s="34">
        <v>0</v>
      </c>
      <c r="D129" s="27"/>
      <c r="E129" s="26"/>
      <c r="F129" s="26"/>
      <c r="G129" s="26"/>
      <c r="H129" s="28"/>
      <c r="I129" s="26"/>
      <c r="J129" s="26"/>
      <c r="K129" s="29">
        <v>0</v>
      </c>
      <c r="L129" s="119">
        <v>1500</v>
      </c>
      <c r="M129" s="34">
        <f>L129-K129</f>
        <v>1500</v>
      </c>
      <c r="N129" s="92" t="s">
        <v>39</v>
      </c>
      <c r="O129" s="57">
        <v>0</v>
      </c>
      <c r="P129" s="92">
        <f t="shared" si="73"/>
        <v>1500</v>
      </c>
      <c r="Q129" s="57">
        <v>0</v>
      </c>
      <c r="R129" s="92">
        <v>0</v>
      </c>
      <c r="S129" s="57">
        <f t="shared" si="74"/>
        <v>1500</v>
      </c>
      <c r="T129" s="57">
        <v>0</v>
      </c>
      <c r="U129" s="57">
        <v>0</v>
      </c>
      <c r="V129" s="59">
        <v>0</v>
      </c>
      <c r="W129" s="29">
        <f t="shared" si="80"/>
        <v>1500</v>
      </c>
      <c r="X129" s="119">
        <v>1750</v>
      </c>
      <c r="Y129" s="34">
        <f t="shared" si="75"/>
        <v>250</v>
      </c>
      <c r="Z129" s="213">
        <f t="shared" si="76"/>
        <v>1.1666666666666667</v>
      </c>
    </row>
    <row r="130" spans="1:27" ht="24.75" customHeight="1" x14ac:dyDescent="0.25">
      <c r="A130" s="24" t="s">
        <v>140</v>
      </c>
      <c r="B130" s="113"/>
      <c r="C130" s="34"/>
      <c r="D130" s="27"/>
      <c r="E130" s="26"/>
      <c r="F130" s="26"/>
      <c r="G130" s="26"/>
      <c r="H130" s="28"/>
      <c r="I130" s="26"/>
      <c r="J130" s="26"/>
      <c r="K130" s="29"/>
      <c r="L130" s="119">
        <v>0</v>
      </c>
      <c r="M130" s="34"/>
      <c r="N130" s="92"/>
      <c r="O130" s="57"/>
      <c r="P130" s="92"/>
      <c r="Q130" s="57"/>
      <c r="R130" s="92"/>
      <c r="S130" s="57">
        <v>0</v>
      </c>
      <c r="T130" s="57">
        <v>1000</v>
      </c>
      <c r="U130" s="57">
        <v>0</v>
      </c>
      <c r="V130" s="59">
        <v>0</v>
      </c>
      <c r="W130" s="29">
        <f t="shared" si="80"/>
        <v>1000</v>
      </c>
      <c r="X130" s="119">
        <v>0</v>
      </c>
      <c r="Y130" s="34">
        <f t="shared" si="75"/>
        <v>-1000</v>
      </c>
      <c r="Z130" s="213">
        <f t="shared" si="76"/>
        <v>0</v>
      </c>
    </row>
    <row r="131" spans="1:27" ht="24.75" customHeight="1" x14ac:dyDescent="0.25">
      <c r="A131" s="193" t="s">
        <v>377</v>
      </c>
      <c r="B131" s="113" t="s">
        <v>350</v>
      </c>
      <c r="C131" s="34">
        <v>200</v>
      </c>
      <c r="D131" s="27">
        <v>0</v>
      </c>
      <c r="E131" s="26">
        <f t="shared" si="69"/>
        <v>200</v>
      </c>
      <c r="F131" s="26">
        <v>0</v>
      </c>
      <c r="G131" s="26">
        <v>0</v>
      </c>
      <c r="H131" s="28">
        <f t="shared" si="77"/>
        <v>200</v>
      </c>
      <c r="I131" s="26">
        <v>0</v>
      </c>
      <c r="J131" s="26">
        <v>0</v>
      </c>
      <c r="K131" s="29">
        <f t="shared" si="78"/>
        <v>200</v>
      </c>
      <c r="L131" s="119">
        <v>400</v>
      </c>
      <c r="M131" s="34">
        <f t="shared" si="79"/>
        <v>200</v>
      </c>
      <c r="N131" s="35">
        <f t="shared" si="72"/>
        <v>2</v>
      </c>
      <c r="O131" s="34">
        <v>0</v>
      </c>
      <c r="P131" s="92">
        <f t="shared" si="73"/>
        <v>400</v>
      </c>
      <c r="Q131" s="34">
        <v>0</v>
      </c>
      <c r="R131" s="35">
        <v>0</v>
      </c>
      <c r="S131" s="57">
        <f t="shared" si="74"/>
        <v>400</v>
      </c>
      <c r="T131" s="57">
        <v>0</v>
      </c>
      <c r="U131" s="57">
        <v>0</v>
      </c>
      <c r="V131" s="59">
        <v>0</v>
      </c>
      <c r="W131" s="29">
        <f t="shared" si="80"/>
        <v>400</v>
      </c>
      <c r="X131" s="119">
        <v>700</v>
      </c>
      <c r="Y131" s="34">
        <f t="shared" si="75"/>
        <v>300</v>
      </c>
      <c r="Z131" s="213">
        <f t="shared" si="76"/>
        <v>1.75</v>
      </c>
      <c r="AA131" s="239"/>
    </row>
    <row r="132" spans="1:27" ht="15" customHeight="1" x14ac:dyDescent="0.25">
      <c r="A132" s="24" t="s">
        <v>141</v>
      </c>
      <c r="B132" s="113"/>
      <c r="C132" s="34"/>
      <c r="D132" s="27"/>
      <c r="E132" s="26"/>
      <c r="F132" s="26"/>
      <c r="G132" s="26"/>
      <c r="H132" s="28"/>
      <c r="I132" s="26"/>
      <c r="J132" s="26"/>
      <c r="K132" s="29"/>
      <c r="L132" s="119">
        <v>0</v>
      </c>
      <c r="M132" s="34"/>
      <c r="N132" s="35"/>
      <c r="O132" s="34"/>
      <c r="P132" s="92">
        <v>0</v>
      </c>
      <c r="Q132" s="34">
        <v>0</v>
      </c>
      <c r="R132" s="35">
        <f>217</f>
        <v>217</v>
      </c>
      <c r="S132" s="57">
        <f>SUM(P132:R132)</f>
        <v>217</v>
      </c>
      <c r="T132" s="57">
        <v>0</v>
      </c>
      <c r="U132" s="57">
        <v>0</v>
      </c>
      <c r="V132" s="59">
        <v>0</v>
      </c>
      <c r="W132" s="29">
        <f t="shared" si="80"/>
        <v>217</v>
      </c>
      <c r="X132" s="119">
        <v>0</v>
      </c>
      <c r="Y132" s="34">
        <f t="shared" si="75"/>
        <v>-217</v>
      </c>
      <c r="Z132" s="213">
        <f t="shared" si="76"/>
        <v>0</v>
      </c>
    </row>
    <row r="133" spans="1:27" ht="16.5" customHeight="1" x14ac:dyDescent="0.25">
      <c r="A133" s="24" t="s">
        <v>142</v>
      </c>
      <c r="B133" s="113" t="s">
        <v>350</v>
      </c>
      <c r="C133" s="34">
        <v>50</v>
      </c>
      <c r="D133" s="27">
        <v>0</v>
      </c>
      <c r="E133" s="26">
        <f t="shared" si="69"/>
        <v>50</v>
      </c>
      <c r="F133" s="26">
        <v>0</v>
      </c>
      <c r="G133" s="26">
        <v>0</v>
      </c>
      <c r="H133" s="28">
        <f t="shared" si="77"/>
        <v>50</v>
      </c>
      <c r="I133" s="26">
        <v>0</v>
      </c>
      <c r="J133" s="26">
        <v>0</v>
      </c>
      <c r="K133" s="29">
        <f t="shared" si="78"/>
        <v>50</v>
      </c>
      <c r="L133" s="119">
        <v>50</v>
      </c>
      <c r="M133" s="34">
        <f t="shared" si="79"/>
        <v>0</v>
      </c>
      <c r="N133" s="35">
        <f t="shared" si="72"/>
        <v>1</v>
      </c>
      <c r="O133" s="34">
        <v>0</v>
      </c>
      <c r="P133" s="92">
        <f t="shared" si="73"/>
        <v>50</v>
      </c>
      <c r="Q133" s="34">
        <v>0</v>
      </c>
      <c r="R133" s="35">
        <v>0</v>
      </c>
      <c r="S133" s="57">
        <f t="shared" si="74"/>
        <v>50</v>
      </c>
      <c r="T133" s="57">
        <v>0</v>
      </c>
      <c r="U133" s="57">
        <v>0</v>
      </c>
      <c r="V133" s="59">
        <v>0</v>
      </c>
      <c r="W133" s="29">
        <f t="shared" si="80"/>
        <v>50</v>
      </c>
      <c r="X133" s="119">
        <v>50</v>
      </c>
      <c r="Y133" s="34">
        <f t="shared" si="75"/>
        <v>0</v>
      </c>
      <c r="Z133" s="213">
        <f t="shared" si="76"/>
        <v>1</v>
      </c>
    </row>
    <row r="134" spans="1:27" ht="16.5" customHeight="1" x14ac:dyDescent="0.25">
      <c r="A134" s="24" t="s">
        <v>142</v>
      </c>
      <c r="B134" s="113"/>
      <c r="C134" s="34"/>
      <c r="D134" s="27"/>
      <c r="E134" s="26"/>
      <c r="F134" s="26"/>
      <c r="G134" s="26"/>
      <c r="H134" s="28"/>
      <c r="I134" s="26"/>
      <c r="J134" s="26"/>
      <c r="K134" s="29"/>
      <c r="L134" s="119">
        <v>0</v>
      </c>
      <c r="M134" s="34"/>
      <c r="N134" s="35"/>
      <c r="O134" s="34"/>
      <c r="P134" s="92"/>
      <c r="Q134" s="34"/>
      <c r="R134" s="35"/>
      <c r="S134" s="57">
        <v>0</v>
      </c>
      <c r="T134" s="57">
        <v>0</v>
      </c>
      <c r="U134" s="57">
        <v>0</v>
      </c>
      <c r="V134" s="59">
        <f>41</f>
        <v>41</v>
      </c>
      <c r="W134" s="29">
        <f>SUM(S134:V134)</f>
        <v>41</v>
      </c>
      <c r="X134" s="119">
        <v>0</v>
      </c>
      <c r="Y134" s="34">
        <f t="shared" si="75"/>
        <v>-41</v>
      </c>
      <c r="Z134" s="213">
        <f t="shared" si="76"/>
        <v>0</v>
      </c>
    </row>
    <row r="135" spans="1:27" ht="26.25" customHeight="1" x14ac:dyDescent="0.25">
      <c r="A135" s="24" t="s">
        <v>357</v>
      </c>
      <c r="B135" s="113" t="s">
        <v>350</v>
      </c>
      <c r="C135" s="34"/>
      <c r="D135" s="27"/>
      <c r="E135" s="26"/>
      <c r="F135" s="26"/>
      <c r="G135" s="26"/>
      <c r="H135" s="28"/>
      <c r="I135" s="26"/>
      <c r="J135" s="26"/>
      <c r="K135" s="29"/>
      <c r="L135" s="119">
        <v>0</v>
      </c>
      <c r="M135" s="34"/>
      <c r="N135" s="35"/>
      <c r="O135" s="34"/>
      <c r="P135" s="92"/>
      <c r="Q135" s="34"/>
      <c r="R135" s="35"/>
      <c r="S135" s="57"/>
      <c r="T135" s="57"/>
      <c r="U135" s="57"/>
      <c r="V135" s="59"/>
      <c r="W135" s="29">
        <v>0</v>
      </c>
      <c r="X135" s="119">
        <v>2000</v>
      </c>
      <c r="Y135" s="34">
        <f t="shared" si="75"/>
        <v>2000</v>
      </c>
      <c r="Z135" s="212" t="s">
        <v>263</v>
      </c>
    </row>
    <row r="136" spans="1:27" ht="27" customHeight="1" x14ac:dyDescent="0.25">
      <c r="A136" s="24" t="s">
        <v>143</v>
      </c>
      <c r="B136" s="113"/>
      <c r="C136" s="34"/>
      <c r="D136" s="27"/>
      <c r="E136" s="26"/>
      <c r="F136" s="26"/>
      <c r="G136" s="26"/>
      <c r="H136" s="28"/>
      <c r="I136" s="26"/>
      <c r="J136" s="26"/>
      <c r="K136" s="29"/>
      <c r="L136" s="119">
        <v>0</v>
      </c>
      <c r="M136" s="34"/>
      <c r="N136" s="35"/>
      <c r="O136" s="34"/>
      <c r="P136" s="92">
        <v>0</v>
      </c>
      <c r="Q136" s="34">
        <v>250</v>
      </c>
      <c r="R136" s="35">
        <v>0</v>
      </c>
      <c r="S136" s="57">
        <f t="shared" si="74"/>
        <v>250</v>
      </c>
      <c r="T136" s="57">
        <v>0</v>
      </c>
      <c r="U136" s="57">
        <v>0</v>
      </c>
      <c r="V136" s="59">
        <v>0</v>
      </c>
      <c r="W136" s="29">
        <f t="shared" si="80"/>
        <v>250</v>
      </c>
      <c r="X136" s="119">
        <v>0</v>
      </c>
      <c r="Y136" s="34">
        <f t="shared" si="75"/>
        <v>-250</v>
      </c>
      <c r="Z136" s="213">
        <f t="shared" si="76"/>
        <v>0</v>
      </c>
    </row>
    <row r="137" spans="1:27" ht="16.5" customHeight="1" x14ac:dyDescent="0.25">
      <c r="A137" s="24" t="s">
        <v>144</v>
      </c>
      <c r="B137" s="113"/>
      <c r="C137" s="34"/>
      <c r="D137" s="27"/>
      <c r="E137" s="26"/>
      <c r="F137" s="26"/>
      <c r="G137" s="26"/>
      <c r="H137" s="28"/>
      <c r="I137" s="26"/>
      <c r="J137" s="26"/>
      <c r="K137" s="29"/>
      <c r="L137" s="119">
        <v>0</v>
      </c>
      <c r="M137" s="34"/>
      <c r="N137" s="35"/>
      <c r="O137" s="34"/>
      <c r="P137" s="92">
        <v>0</v>
      </c>
      <c r="Q137" s="34">
        <v>0</v>
      </c>
      <c r="R137" s="35">
        <f>50</f>
        <v>50</v>
      </c>
      <c r="S137" s="57">
        <f>SUM(P137:R137)</f>
        <v>50</v>
      </c>
      <c r="T137" s="57">
        <v>0</v>
      </c>
      <c r="U137" s="57">
        <v>0</v>
      </c>
      <c r="V137" s="59">
        <v>0</v>
      </c>
      <c r="W137" s="29">
        <f t="shared" si="80"/>
        <v>50</v>
      </c>
      <c r="X137" s="119">
        <v>0</v>
      </c>
      <c r="Y137" s="34">
        <f t="shared" si="75"/>
        <v>-50</v>
      </c>
      <c r="Z137" s="213">
        <f t="shared" si="76"/>
        <v>0</v>
      </c>
    </row>
    <row r="138" spans="1:27" ht="16.5" customHeight="1" x14ac:dyDescent="0.25">
      <c r="A138" s="32" t="s">
        <v>145</v>
      </c>
      <c r="B138" s="113" t="s">
        <v>350</v>
      </c>
      <c r="C138" s="34">
        <v>1700</v>
      </c>
      <c r="D138" s="27">
        <v>0</v>
      </c>
      <c r="E138" s="26">
        <f t="shared" si="69"/>
        <v>1700</v>
      </c>
      <c r="F138" s="26">
        <v>0</v>
      </c>
      <c r="G138" s="26">
        <v>0</v>
      </c>
      <c r="H138" s="28">
        <f t="shared" si="77"/>
        <v>1700</v>
      </c>
      <c r="I138" s="26">
        <v>0</v>
      </c>
      <c r="J138" s="26">
        <v>0</v>
      </c>
      <c r="K138" s="29">
        <f t="shared" si="78"/>
        <v>1700</v>
      </c>
      <c r="L138" s="119">
        <v>1700</v>
      </c>
      <c r="M138" s="34">
        <f t="shared" si="79"/>
        <v>0</v>
      </c>
      <c r="N138" s="35">
        <f t="shared" si="72"/>
        <v>1</v>
      </c>
      <c r="O138" s="34">
        <v>0</v>
      </c>
      <c r="P138" s="92">
        <f t="shared" si="73"/>
        <v>1700</v>
      </c>
      <c r="Q138" s="34">
        <v>0</v>
      </c>
      <c r="R138" s="35">
        <v>0</v>
      </c>
      <c r="S138" s="57">
        <f t="shared" si="74"/>
        <v>1700</v>
      </c>
      <c r="T138" s="57">
        <v>0</v>
      </c>
      <c r="U138" s="57">
        <v>0</v>
      </c>
      <c r="V138" s="59">
        <v>0</v>
      </c>
      <c r="W138" s="29">
        <f t="shared" si="80"/>
        <v>1700</v>
      </c>
      <c r="X138" s="119">
        <v>1700</v>
      </c>
      <c r="Y138" s="34">
        <f t="shared" si="75"/>
        <v>0</v>
      </c>
      <c r="Z138" s="213">
        <f t="shared" si="76"/>
        <v>1</v>
      </c>
    </row>
    <row r="139" spans="1:27" ht="26.25" customHeight="1" x14ac:dyDescent="0.25">
      <c r="A139" s="32" t="s">
        <v>146</v>
      </c>
      <c r="B139" s="113" t="s">
        <v>350</v>
      </c>
      <c r="C139" s="34">
        <v>85</v>
      </c>
      <c r="D139" s="27">
        <v>0</v>
      </c>
      <c r="E139" s="26">
        <f t="shared" si="69"/>
        <v>85</v>
      </c>
      <c r="F139" s="26">
        <v>0</v>
      </c>
      <c r="G139" s="26">
        <v>0</v>
      </c>
      <c r="H139" s="28">
        <f t="shared" si="77"/>
        <v>85</v>
      </c>
      <c r="I139" s="26">
        <v>0</v>
      </c>
      <c r="J139" s="26">
        <v>0</v>
      </c>
      <c r="K139" s="29">
        <f t="shared" si="78"/>
        <v>85</v>
      </c>
      <c r="L139" s="119">
        <v>85</v>
      </c>
      <c r="M139" s="34">
        <f t="shared" si="79"/>
        <v>0</v>
      </c>
      <c r="N139" s="35">
        <f>L139/K139</f>
        <v>1</v>
      </c>
      <c r="O139" s="34">
        <v>0</v>
      </c>
      <c r="P139" s="92">
        <f t="shared" si="73"/>
        <v>85</v>
      </c>
      <c r="Q139" s="34">
        <v>0</v>
      </c>
      <c r="R139" s="35">
        <v>0</v>
      </c>
      <c r="S139" s="57">
        <f t="shared" si="74"/>
        <v>85</v>
      </c>
      <c r="T139" s="57">
        <v>0</v>
      </c>
      <c r="U139" s="57">
        <v>0</v>
      </c>
      <c r="V139" s="59">
        <v>0</v>
      </c>
      <c r="W139" s="29">
        <f t="shared" si="80"/>
        <v>85</v>
      </c>
      <c r="X139" s="119">
        <v>85</v>
      </c>
      <c r="Y139" s="34">
        <f t="shared" si="75"/>
        <v>0</v>
      </c>
      <c r="Z139" s="213">
        <f t="shared" si="76"/>
        <v>1</v>
      </c>
    </row>
    <row r="140" spans="1:27" ht="16.5" customHeight="1" x14ac:dyDescent="0.25">
      <c r="A140" s="32" t="s">
        <v>147</v>
      </c>
      <c r="B140" s="113" t="s">
        <v>350</v>
      </c>
      <c r="C140" s="34">
        <v>0</v>
      </c>
      <c r="D140" s="27"/>
      <c r="E140" s="26"/>
      <c r="F140" s="26"/>
      <c r="G140" s="26"/>
      <c r="H140" s="28"/>
      <c r="I140" s="26"/>
      <c r="J140" s="26"/>
      <c r="K140" s="29">
        <v>0</v>
      </c>
      <c r="L140" s="119">
        <v>80</v>
      </c>
      <c r="M140" s="34">
        <f>L140-K140</f>
        <v>80</v>
      </c>
      <c r="N140" s="92" t="s">
        <v>39</v>
      </c>
      <c r="O140" s="57">
        <v>0</v>
      </c>
      <c r="P140" s="92">
        <f t="shared" si="73"/>
        <v>80</v>
      </c>
      <c r="Q140" s="57">
        <v>0</v>
      </c>
      <c r="R140" s="92">
        <v>0</v>
      </c>
      <c r="S140" s="57">
        <f t="shared" si="74"/>
        <v>80</v>
      </c>
      <c r="T140" s="57">
        <v>0</v>
      </c>
      <c r="U140" s="57">
        <v>0</v>
      </c>
      <c r="V140" s="59">
        <v>0</v>
      </c>
      <c r="W140" s="29">
        <f t="shared" si="80"/>
        <v>80</v>
      </c>
      <c r="X140" s="119">
        <v>80</v>
      </c>
      <c r="Y140" s="34">
        <f t="shared" ref="Y140:Y153" si="81">X140-W140</f>
        <v>0</v>
      </c>
      <c r="Z140" s="213">
        <f t="shared" ref="Z140:Z153" si="82">X140/W140</f>
        <v>1</v>
      </c>
    </row>
    <row r="141" spans="1:27" ht="16.5" customHeight="1" x14ac:dyDescent="0.25">
      <c r="A141" s="32" t="s">
        <v>148</v>
      </c>
      <c r="B141" s="113" t="s">
        <v>350</v>
      </c>
      <c r="C141" s="34">
        <v>1700</v>
      </c>
      <c r="D141" s="27">
        <v>0</v>
      </c>
      <c r="E141" s="26">
        <f t="shared" si="69"/>
        <v>1700</v>
      </c>
      <c r="F141" s="26">
        <v>0</v>
      </c>
      <c r="G141" s="26">
        <v>0</v>
      </c>
      <c r="H141" s="28">
        <f t="shared" si="77"/>
        <v>1700</v>
      </c>
      <c r="I141" s="26">
        <v>0</v>
      </c>
      <c r="J141" s="26">
        <v>0</v>
      </c>
      <c r="K141" s="29">
        <f t="shared" si="78"/>
        <v>1700</v>
      </c>
      <c r="L141" s="119">
        <v>1670</v>
      </c>
      <c r="M141" s="34">
        <f t="shared" si="79"/>
        <v>-30</v>
      </c>
      <c r="N141" s="35">
        <f t="shared" ref="N141:N153" si="83">L141/K141</f>
        <v>0.98235294117647054</v>
      </c>
      <c r="O141" s="34">
        <v>0</v>
      </c>
      <c r="P141" s="92">
        <f t="shared" si="73"/>
        <v>1670</v>
      </c>
      <c r="Q141" s="34">
        <v>0</v>
      </c>
      <c r="R141" s="35">
        <v>0</v>
      </c>
      <c r="S141" s="57">
        <f t="shared" si="74"/>
        <v>1670</v>
      </c>
      <c r="T141" s="57">
        <v>0</v>
      </c>
      <c r="U141" s="57">
        <v>0</v>
      </c>
      <c r="V141" s="59">
        <v>0</v>
      </c>
      <c r="W141" s="29">
        <f t="shared" si="80"/>
        <v>1670</v>
      </c>
      <c r="X141" s="119">
        <v>1570</v>
      </c>
      <c r="Y141" s="34">
        <f t="shared" si="81"/>
        <v>-100</v>
      </c>
      <c r="Z141" s="213">
        <f t="shared" si="82"/>
        <v>0.94011976047904189</v>
      </c>
    </row>
    <row r="142" spans="1:27" ht="26.25" customHeight="1" x14ac:dyDescent="0.25">
      <c r="A142" s="24" t="s">
        <v>149</v>
      </c>
      <c r="B142" s="113" t="s">
        <v>350</v>
      </c>
      <c r="C142" s="34">
        <v>1700</v>
      </c>
      <c r="D142" s="27">
        <v>0</v>
      </c>
      <c r="E142" s="26">
        <f t="shared" si="69"/>
        <v>1700</v>
      </c>
      <c r="F142" s="26">
        <v>0</v>
      </c>
      <c r="G142" s="26">
        <v>0</v>
      </c>
      <c r="H142" s="28">
        <f t="shared" si="77"/>
        <v>1700</v>
      </c>
      <c r="I142" s="26">
        <v>0</v>
      </c>
      <c r="J142" s="26">
        <v>0</v>
      </c>
      <c r="K142" s="29">
        <f t="shared" si="78"/>
        <v>1700</v>
      </c>
      <c r="L142" s="119">
        <v>1670</v>
      </c>
      <c r="M142" s="34">
        <f t="shared" si="79"/>
        <v>-30</v>
      </c>
      <c r="N142" s="35">
        <f t="shared" si="83"/>
        <v>0.98235294117647054</v>
      </c>
      <c r="O142" s="34">
        <v>0</v>
      </c>
      <c r="P142" s="92">
        <f t="shared" si="73"/>
        <v>1670</v>
      </c>
      <c r="Q142" s="34">
        <v>0</v>
      </c>
      <c r="R142" s="35">
        <v>0</v>
      </c>
      <c r="S142" s="57">
        <f>SUM(P142:R142)</f>
        <v>1670</v>
      </c>
      <c r="T142" s="57">
        <v>0</v>
      </c>
      <c r="U142" s="57">
        <v>0</v>
      </c>
      <c r="V142" s="59">
        <v>0</v>
      </c>
      <c r="W142" s="29">
        <f t="shared" si="80"/>
        <v>1670</v>
      </c>
      <c r="X142" s="119">
        <v>1570</v>
      </c>
      <c r="Y142" s="34">
        <f t="shared" si="81"/>
        <v>-100</v>
      </c>
      <c r="Z142" s="213">
        <f t="shared" si="82"/>
        <v>0.94011976047904189</v>
      </c>
    </row>
    <row r="143" spans="1:27" ht="15" customHeight="1" x14ac:dyDescent="0.25">
      <c r="A143" s="32" t="s">
        <v>150</v>
      </c>
      <c r="B143" s="113" t="s">
        <v>350</v>
      </c>
      <c r="C143" s="34">
        <v>500</v>
      </c>
      <c r="D143" s="27">
        <v>0</v>
      </c>
      <c r="E143" s="26">
        <f t="shared" si="69"/>
        <v>500</v>
      </c>
      <c r="F143" s="26">
        <v>0</v>
      </c>
      <c r="G143" s="26">
        <v>0</v>
      </c>
      <c r="H143" s="28">
        <f t="shared" si="77"/>
        <v>500</v>
      </c>
      <c r="I143" s="26">
        <v>0</v>
      </c>
      <c r="J143" s="26">
        <v>0</v>
      </c>
      <c r="K143" s="29">
        <f t="shared" si="78"/>
        <v>500</v>
      </c>
      <c r="L143" s="119">
        <v>500</v>
      </c>
      <c r="M143" s="34">
        <f t="shared" si="79"/>
        <v>0</v>
      </c>
      <c r="N143" s="35">
        <f t="shared" si="83"/>
        <v>1</v>
      </c>
      <c r="O143" s="34">
        <v>0</v>
      </c>
      <c r="P143" s="92">
        <f t="shared" si="73"/>
        <v>500</v>
      </c>
      <c r="Q143" s="34">
        <v>0</v>
      </c>
      <c r="R143" s="35">
        <v>0</v>
      </c>
      <c r="S143" s="57">
        <f t="shared" si="74"/>
        <v>500</v>
      </c>
      <c r="T143" s="57">
        <v>0</v>
      </c>
      <c r="U143" s="57">
        <v>0</v>
      </c>
      <c r="V143" s="59">
        <v>0</v>
      </c>
      <c r="W143" s="29">
        <f t="shared" si="80"/>
        <v>500</v>
      </c>
      <c r="X143" s="119">
        <v>500</v>
      </c>
      <c r="Y143" s="34">
        <f t="shared" si="81"/>
        <v>0</v>
      </c>
      <c r="Z143" s="213">
        <f t="shared" si="82"/>
        <v>1</v>
      </c>
    </row>
    <row r="144" spans="1:27" ht="15" customHeight="1" x14ac:dyDescent="0.25">
      <c r="A144" s="114" t="s">
        <v>151</v>
      </c>
      <c r="B144" s="113" t="s">
        <v>353</v>
      </c>
      <c r="C144" s="34">
        <v>250</v>
      </c>
      <c r="D144" s="27">
        <v>0</v>
      </c>
      <c r="E144" s="26">
        <f t="shared" si="69"/>
        <v>250</v>
      </c>
      <c r="F144" s="26">
        <v>0</v>
      </c>
      <c r="G144" s="26">
        <v>0</v>
      </c>
      <c r="H144" s="28">
        <f t="shared" si="77"/>
        <v>250</v>
      </c>
      <c r="I144" s="26">
        <v>0</v>
      </c>
      <c r="J144" s="26">
        <v>0</v>
      </c>
      <c r="K144" s="29">
        <f>SUM(H144:J144)</f>
        <v>250</v>
      </c>
      <c r="L144" s="119">
        <v>250</v>
      </c>
      <c r="M144" s="34">
        <f t="shared" si="79"/>
        <v>0</v>
      </c>
      <c r="N144" s="35">
        <f t="shared" si="83"/>
        <v>1</v>
      </c>
      <c r="O144" s="34">
        <v>0</v>
      </c>
      <c r="P144" s="92">
        <f t="shared" si="73"/>
        <v>250</v>
      </c>
      <c r="Q144" s="34">
        <v>0</v>
      </c>
      <c r="R144" s="35">
        <v>0</v>
      </c>
      <c r="S144" s="57">
        <f t="shared" si="74"/>
        <v>250</v>
      </c>
      <c r="T144" s="57">
        <v>0</v>
      </c>
      <c r="U144" s="57">
        <v>0</v>
      </c>
      <c r="V144" s="59">
        <v>0</v>
      </c>
      <c r="W144" s="29">
        <f t="shared" si="80"/>
        <v>250</v>
      </c>
      <c r="X144" s="119">
        <v>250</v>
      </c>
      <c r="Y144" s="34">
        <f t="shared" si="81"/>
        <v>0</v>
      </c>
      <c r="Z144" s="213">
        <f t="shared" si="82"/>
        <v>1</v>
      </c>
    </row>
    <row r="145" spans="1:27" ht="15" customHeight="1" x14ac:dyDescent="0.25">
      <c r="A145" s="114" t="s">
        <v>339</v>
      </c>
      <c r="B145" s="113"/>
      <c r="C145" s="34"/>
      <c r="D145" s="27"/>
      <c r="E145" s="26"/>
      <c r="F145" s="26"/>
      <c r="G145" s="26"/>
      <c r="H145" s="28"/>
      <c r="I145" s="26"/>
      <c r="J145" s="26"/>
      <c r="K145" s="29"/>
      <c r="L145" s="119">
        <v>0</v>
      </c>
      <c r="M145" s="34"/>
      <c r="N145" s="35"/>
      <c r="O145" s="34"/>
      <c r="P145" s="92"/>
      <c r="Q145" s="34"/>
      <c r="R145" s="35"/>
      <c r="S145" s="57">
        <v>0</v>
      </c>
      <c r="T145" s="57">
        <v>0</v>
      </c>
      <c r="U145" s="57">
        <v>0</v>
      </c>
      <c r="V145" s="59">
        <f>30</f>
        <v>30</v>
      </c>
      <c r="W145" s="29">
        <f>SUM(S145:V145)</f>
        <v>30</v>
      </c>
      <c r="X145" s="119">
        <v>0</v>
      </c>
      <c r="Y145" s="34">
        <f t="shared" si="81"/>
        <v>-30</v>
      </c>
      <c r="Z145" s="213">
        <f t="shared" si="82"/>
        <v>0</v>
      </c>
    </row>
    <row r="146" spans="1:27" ht="15.75" customHeight="1" x14ac:dyDescent="0.25">
      <c r="A146" s="114" t="s">
        <v>352</v>
      </c>
      <c r="B146" s="113" t="s">
        <v>354</v>
      </c>
      <c r="C146" s="34">
        <v>500</v>
      </c>
      <c r="D146" s="27">
        <v>0</v>
      </c>
      <c r="E146" s="26">
        <f t="shared" si="69"/>
        <v>500</v>
      </c>
      <c r="F146" s="26">
        <v>0</v>
      </c>
      <c r="G146" s="26">
        <v>0</v>
      </c>
      <c r="H146" s="28">
        <f t="shared" si="77"/>
        <v>500</v>
      </c>
      <c r="I146" s="26">
        <v>0</v>
      </c>
      <c r="J146" s="26">
        <v>0</v>
      </c>
      <c r="K146" s="29">
        <f t="shared" si="78"/>
        <v>500</v>
      </c>
      <c r="L146" s="119">
        <v>500</v>
      </c>
      <c r="M146" s="34">
        <f t="shared" si="79"/>
        <v>0</v>
      </c>
      <c r="N146" s="35">
        <f t="shared" si="83"/>
        <v>1</v>
      </c>
      <c r="O146" s="34">
        <v>0</v>
      </c>
      <c r="P146" s="92">
        <f t="shared" si="73"/>
        <v>500</v>
      </c>
      <c r="Q146" s="34">
        <v>0</v>
      </c>
      <c r="R146" s="35">
        <v>0</v>
      </c>
      <c r="S146" s="57">
        <f t="shared" si="74"/>
        <v>500</v>
      </c>
      <c r="T146" s="57">
        <v>0</v>
      </c>
      <c r="U146" s="57">
        <v>0</v>
      </c>
      <c r="V146" s="59">
        <v>0</v>
      </c>
      <c r="W146" s="29">
        <f t="shared" si="80"/>
        <v>500</v>
      </c>
      <c r="X146" s="119">
        <v>500</v>
      </c>
      <c r="Y146" s="34">
        <f t="shared" si="81"/>
        <v>0</v>
      </c>
      <c r="Z146" s="213">
        <f t="shared" si="82"/>
        <v>1</v>
      </c>
    </row>
    <row r="147" spans="1:27" ht="16.5" customHeight="1" x14ac:dyDescent="0.25">
      <c r="A147" s="114" t="s">
        <v>152</v>
      </c>
      <c r="B147" s="113" t="s">
        <v>355</v>
      </c>
      <c r="C147" s="34">
        <v>50</v>
      </c>
      <c r="D147" s="27">
        <v>0</v>
      </c>
      <c r="E147" s="26">
        <f t="shared" si="69"/>
        <v>50</v>
      </c>
      <c r="F147" s="26">
        <v>0</v>
      </c>
      <c r="G147" s="26">
        <v>0</v>
      </c>
      <c r="H147" s="28">
        <f t="shared" si="77"/>
        <v>50</v>
      </c>
      <c r="I147" s="26">
        <v>0</v>
      </c>
      <c r="J147" s="26">
        <v>0</v>
      </c>
      <c r="K147" s="29">
        <f t="shared" si="78"/>
        <v>50</v>
      </c>
      <c r="L147" s="119">
        <v>50</v>
      </c>
      <c r="M147" s="34">
        <f t="shared" si="79"/>
        <v>0</v>
      </c>
      <c r="N147" s="35">
        <f t="shared" si="83"/>
        <v>1</v>
      </c>
      <c r="O147" s="34">
        <v>0</v>
      </c>
      <c r="P147" s="92">
        <f t="shared" si="73"/>
        <v>50</v>
      </c>
      <c r="Q147" s="34">
        <v>0</v>
      </c>
      <c r="R147" s="35">
        <v>0</v>
      </c>
      <c r="S147" s="57">
        <f t="shared" si="74"/>
        <v>50</v>
      </c>
      <c r="T147" s="57">
        <v>0</v>
      </c>
      <c r="U147" s="57">
        <v>0</v>
      </c>
      <c r="V147" s="59">
        <v>0</v>
      </c>
      <c r="W147" s="29">
        <f t="shared" si="80"/>
        <v>50</v>
      </c>
      <c r="X147" s="119">
        <v>50</v>
      </c>
      <c r="Y147" s="34">
        <f t="shared" si="81"/>
        <v>0</v>
      </c>
      <c r="Z147" s="213">
        <f t="shared" si="82"/>
        <v>1</v>
      </c>
    </row>
    <row r="148" spans="1:27" x14ac:dyDescent="0.25">
      <c r="A148" s="114" t="s">
        <v>153</v>
      </c>
      <c r="B148" s="113" t="s">
        <v>354</v>
      </c>
      <c r="C148" s="34">
        <v>1200</v>
      </c>
      <c r="D148" s="27">
        <v>0</v>
      </c>
      <c r="E148" s="26">
        <f t="shared" si="69"/>
        <v>1200</v>
      </c>
      <c r="F148" s="26">
        <v>0</v>
      </c>
      <c r="G148" s="26">
        <v>0</v>
      </c>
      <c r="H148" s="28">
        <f t="shared" si="77"/>
        <v>1200</v>
      </c>
      <c r="I148" s="26">
        <v>0</v>
      </c>
      <c r="J148" s="26">
        <v>0</v>
      </c>
      <c r="K148" s="29">
        <f t="shared" si="78"/>
        <v>1200</v>
      </c>
      <c r="L148" s="119">
        <v>1200</v>
      </c>
      <c r="M148" s="34">
        <f t="shared" si="79"/>
        <v>0</v>
      </c>
      <c r="N148" s="35">
        <f t="shared" si="83"/>
        <v>1</v>
      </c>
      <c r="O148" s="34">
        <v>0</v>
      </c>
      <c r="P148" s="92">
        <f t="shared" si="73"/>
        <v>1200</v>
      </c>
      <c r="Q148" s="34">
        <v>0</v>
      </c>
      <c r="R148" s="35">
        <v>0</v>
      </c>
      <c r="S148" s="57">
        <f t="shared" si="74"/>
        <v>1200</v>
      </c>
      <c r="T148" s="57">
        <v>0</v>
      </c>
      <c r="U148" s="57">
        <v>0</v>
      </c>
      <c r="V148" s="59">
        <v>0</v>
      </c>
      <c r="W148" s="29">
        <f t="shared" si="80"/>
        <v>1200</v>
      </c>
      <c r="X148" s="119">
        <v>1200</v>
      </c>
      <c r="Y148" s="34">
        <f t="shared" si="81"/>
        <v>0</v>
      </c>
      <c r="Z148" s="213">
        <f t="shared" si="82"/>
        <v>1</v>
      </c>
    </row>
    <row r="149" spans="1:27" ht="14.25" customHeight="1" x14ac:dyDescent="0.25">
      <c r="A149" s="32" t="s">
        <v>154</v>
      </c>
      <c r="B149" s="113" t="s">
        <v>356</v>
      </c>
      <c r="C149" s="34">
        <v>650</v>
      </c>
      <c r="D149" s="27">
        <v>0</v>
      </c>
      <c r="E149" s="26">
        <f t="shared" si="69"/>
        <v>650</v>
      </c>
      <c r="F149" s="26">
        <v>0</v>
      </c>
      <c r="G149" s="26">
        <v>0</v>
      </c>
      <c r="H149" s="28">
        <f t="shared" si="77"/>
        <v>650</v>
      </c>
      <c r="I149" s="26">
        <v>0</v>
      </c>
      <c r="J149" s="26">
        <v>0</v>
      </c>
      <c r="K149" s="29">
        <f t="shared" si="78"/>
        <v>650</v>
      </c>
      <c r="L149" s="119">
        <v>650</v>
      </c>
      <c r="M149" s="34">
        <f t="shared" si="79"/>
        <v>0</v>
      </c>
      <c r="N149" s="35">
        <f t="shared" si="83"/>
        <v>1</v>
      </c>
      <c r="O149" s="34">
        <v>0</v>
      </c>
      <c r="P149" s="92">
        <f t="shared" si="73"/>
        <v>650</v>
      </c>
      <c r="Q149" s="34">
        <v>0</v>
      </c>
      <c r="R149" s="35">
        <v>0</v>
      </c>
      <c r="S149" s="57">
        <f t="shared" si="74"/>
        <v>650</v>
      </c>
      <c r="T149" s="57">
        <v>0</v>
      </c>
      <c r="U149" s="57">
        <v>0</v>
      </c>
      <c r="V149" s="59">
        <v>0</v>
      </c>
      <c r="W149" s="29">
        <f t="shared" si="80"/>
        <v>650</v>
      </c>
      <c r="X149" s="119">
        <v>650</v>
      </c>
      <c r="Y149" s="34">
        <f t="shared" si="81"/>
        <v>0</v>
      </c>
      <c r="Z149" s="213">
        <f t="shared" si="82"/>
        <v>1</v>
      </c>
    </row>
    <row r="150" spans="1:27" ht="26.25" customHeight="1" x14ac:dyDescent="0.25">
      <c r="A150" s="120" t="s">
        <v>155</v>
      </c>
      <c r="B150" s="113" t="s">
        <v>350</v>
      </c>
      <c r="C150" s="34">
        <v>700</v>
      </c>
      <c r="D150" s="27">
        <v>0</v>
      </c>
      <c r="E150" s="26">
        <f>SUM(C150:D150)</f>
        <v>700</v>
      </c>
      <c r="F150" s="26">
        <v>0</v>
      </c>
      <c r="G150" s="26">
        <v>0</v>
      </c>
      <c r="H150" s="28">
        <f t="shared" si="77"/>
        <v>700</v>
      </c>
      <c r="I150" s="26">
        <v>0</v>
      </c>
      <c r="J150" s="26">
        <v>0</v>
      </c>
      <c r="K150" s="29">
        <f t="shared" si="78"/>
        <v>700</v>
      </c>
      <c r="L150" s="119">
        <v>1670</v>
      </c>
      <c r="M150" s="34">
        <f t="shared" si="79"/>
        <v>970</v>
      </c>
      <c r="N150" s="35">
        <f t="shared" si="83"/>
        <v>2.3857142857142857</v>
      </c>
      <c r="O150" s="34">
        <v>0</v>
      </c>
      <c r="P150" s="92">
        <f t="shared" si="73"/>
        <v>1670</v>
      </c>
      <c r="Q150" s="34">
        <v>0</v>
      </c>
      <c r="R150" s="35">
        <v>0</v>
      </c>
      <c r="S150" s="57">
        <f t="shared" si="74"/>
        <v>1670</v>
      </c>
      <c r="T150" s="57">
        <v>0</v>
      </c>
      <c r="U150" s="57">
        <v>0</v>
      </c>
      <c r="V150" s="59">
        <v>0</v>
      </c>
      <c r="W150" s="29">
        <f t="shared" si="80"/>
        <v>1670</v>
      </c>
      <c r="X150" s="119">
        <v>1570</v>
      </c>
      <c r="Y150" s="34">
        <f t="shared" si="81"/>
        <v>-100</v>
      </c>
      <c r="Z150" s="213">
        <f t="shared" si="82"/>
        <v>0.94011976047904189</v>
      </c>
    </row>
    <row r="151" spans="1:27" ht="26.25" customHeight="1" x14ac:dyDescent="0.25">
      <c r="A151" s="120" t="s">
        <v>156</v>
      </c>
      <c r="B151" s="113" t="s">
        <v>350</v>
      </c>
      <c r="C151" s="34"/>
      <c r="D151" s="91"/>
      <c r="E151" s="34"/>
      <c r="F151" s="34"/>
      <c r="G151" s="34"/>
      <c r="H151" s="35"/>
      <c r="I151" s="34"/>
      <c r="J151" s="34"/>
      <c r="K151" s="93"/>
      <c r="L151" s="119">
        <v>0</v>
      </c>
      <c r="M151" s="34"/>
      <c r="N151" s="35"/>
      <c r="O151" s="34"/>
      <c r="P151" s="92">
        <v>0</v>
      </c>
      <c r="Q151" s="34">
        <v>1670</v>
      </c>
      <c r="R151" s="34">
        <v>0</v>
      </c>
      <c r="S151" s="57">
        <f t="shared" si="74"/>
        <v>1670</v>
      </c>
      <c r="T151" s="57">
        <v>0</v>
      </c>
      <c r="U151" s="57">
        <v>0</v>
      </c>
      <c r="V151" s="59">
        <v>0</v>
      </c>
      <c r="W151" s="29">
        <f t="shared" si="80"/>
        <v>1670</v>
      </c>
      <c r="X151" s="119">
        <v>1570</v>
      </c>
      <c r="Y151" s="34">
        <f t="shared" si="81"/>
        <v>-100</v>
      </c>
      <c r="Z151" s="213">
        <f t="shared" si="82"/>
        <v>0.94011976047904189</v>
      </c>
    </row>
    <row r="152" spans="1:27" ht="24" customHeight="1" x14ac:dyDescent="0.25">
      <c r="A152" s="120" t="s">
        <v>157</v>
      </c>
      <c r="B152" s="113"/>
      <c r="C152" s="34"/>
      <c r="D152" s="91"/>
      <c r="E152" s="34"/>
      <c r="F152" s="34"/>
      <c r="G152" s="34"/>
      <c r="H152" s="35"/>
      <c r="I152" s="34"/>
      <c r="J152" s="34"/>
      <c r="K152" s="93"/>
      <c r="L152" s="119">
        <v>0</v>
      </c>
      <c r="M152" s="34"/>
      <c r="N152" s="35"/>
      <c r="O152" s="34"/>
      <c r="P152" s="92"/>
      <c r="Q152" s="34"/>
      <c r="R152" s="35"/>
      <c r="S152" s="57">
        <v>0</v>
      </c>
      <c r="T152" s="57">
        <v>0</v>
      </c>
      <c r="U152" s="57">
        <v>0</v>
      </c>
      <c r="V152" s="57">
        <f>20</f>
        <v>20</v>
      </c>
      <c r="W152" s="93">
        <f>SUM(S152:V152)</f>
        <v>20</v>
      </c>
      <c r="X152" s="119">
        <v>0</v>
      </c>
      <c r="Y152" s="34">
        <f t="shared" si="81"/>
        <v>-20</v>
      </c>
      <c r="Z152" s="213">
        <f t="shared" si="82"/>
        <v>0</v>
      </c>
      <c r="AA152" s="191"/>
    </row>
    <row r="153" spans="1:27" ht="15.75" customHeight="1" thickBot="1" x14ac:dyDescent="0.3">
      <c r="A153" s="229" t="s">
        <v>158</v>
      </c>
      <c r="B153" s="230"/>
      <c r="C153" s="231">
        <v>16577.599999999999</v>
      </c>
      <c r="D153" s="232">
        <f>-1100-510</f>
        <v>-1610</v>
      </c>
      <c r="E153" s="231">
        <f>SUM(C153:D153)+94.17</f>
        <v>15061.769999999999</v>
      </c>
      <c r="F153" s="231">
        <v>-3853</v>
      </c>
      <c r="G153" s="231">
        <f>-494.17</f>
        <v>-494.17</v>
      </c>
      <c r="H153" s="233">
        <f t="shared" si="77"/>
        <v>10714.599999999999</v>
      </c>
      <c r="I153" s="231">
        <v>-749.19</v>
      </c>
      <c r="J153" s="231">
        <f>30-60</f>
        <v>-30</v>
      </c>
      <c r="K153" s="234">
        <f t="shared" ref="K153:K209" si="84">SUM(H153:J153)</f>
        <v>9935.409999999998</v>
      </c>
      <c r="L153" s="231">
        <v>63172.72</v>
      </c>
      <c r="M153" s="231">
        <f t="shared" si="79"/>
        <v>53237.310000000005</v>
      </c>
      <c r="N153" s="233">
        <f t="shared" si="83"/>
        <v>6.3583405214279045</v>
      </c>
      <c r="O153" s="231">
        <f>94.59+13.16</f>
        <v>107.75</v>
      </c>
      <c r="P153" s="235">
        <f t="shared" si="73"/>
        <v>63280.47</v>
      </c>
      <c r="Q153" s="231">
        <v>-1706</v>
      </c>
      <c r="R153" s="233">
        <f>-750+440-50</f>
        <v>-360</v>
      </c>
      <c r="S153" s="236">
        <f>SUM(P153:R153)</f>
        <v>61214.47</v>
      </c>
      <c r="T153" s="236">
        <v>-6020.14</v>
      </c>
      <c r="U153" s="236">
        <v>0</v>
      </c>
      <c r="V153" s="236">
        <f>-20+37.86-35.22</f>
        <v>-17.36</v>
      </c>
      <c r="W153" s="234">
        <f t="shared" si="80"/>
        <v>55176.97</v>
      </c>
      <c r="X153" s="231">
        <v>56026.34</v>
      </c>
      <c r="Y153" s="231">
        <f t="shared" si="81"/>
        <v>849.36999999999534</v>
      </c>
      <c r="Z153" s="240">
        <f t="shared" si="82"/>
        <v>1.0153935600305706</v>
      </c>
      <c r="AA153" s="191"/>
    </row>
    <row r="154" spans="1:27" ht="16.5" customHeight="1" thickBot="1" x14ac:dyDescent="0.3">
      <c r="A154" s="116" t="s">
        <v>159</v>
      </c>
      <c r="B154" s="109"/>
      <c r="C154" s="84">
        <f>SUM(C156:C166)</f>
        <v>269879</v>
      </c>
      <c r="D154" s="85">
        <f>SUM(D156:D166)</f>
        <v>0</v>
      </c>
      <c r="E154" s="84">
        <f>SUM(C154:D154)</f>
        <v>269879</v>
      </c>
      <c r="F154" s="84">
        <f>SUM(F156:F166)</f>
        <v>17057</v>
      </c>
      <c r="G154" s="84">
        <f>SUM(G156:G166)</f>
        <v>50.72</v>
      </c>
      <c r="H154" s="86">
        <f>SUM(H156:H166)</f>
        <v>286986.71999999997</v>
      </c>
      <c r="I154" s="84">
        <f>SUM(I156:I166)</f>
        <v>10461</v>
      </c>
      <c r="J154" s="84">
        <f>SUM(J156:J166)</f>
        <v>2242</v>
      </c>
      <c r="K154" s="87">
        <f t="shared" si="84"/>
        <v>299689.71999999997</v>
      </c>
      <c r="L154" s="84">
        <f>SUM(L156:L166)</f>
        <v>332834</v>
      </c>
      <c r="M154" s="84">
        <f>SUM(M156:M166)</f>
        <v>33144.28</v>
      </c>
      <c r="N154" s="86">
        <f>L154/K154</f>
        <v>1.110595318384628</v>
      </c>
      <c r="O154" s="84">
        <f t="shared" ref="O154:T154" si="85">SUM(O156:O166)</f>
        <v>232.94</v>
      </c>
      <c r="P154" s="87">
        <f t="shared" si="85"/>
        <v>333066.94</v>
      </c>
      <c r="Q154" s="84">
        <f t="shared" si="85"/>
        <v>19508</v>
      </c>
      <c r="R154" s="86">
        <f t="shared" si="85"/>
        <v>181.35</v>
      </c>
      <c r="S154" s="84">
        <f t="shared" si="85"/>
        <v>352756.29000000004</v>
      </c>
      <c r="T154" s="84">
        <f t="shared" si="85"/>
        <v>0</v>
      </c>
      <c r="U154" s="84">
        <f>SUM(U156:U166)</f>
        <v>0</v>
      </c>
      <c r="V154" s="84">
        <f>SUM(V156:V166)</f>
        <v>671</v>
      </c>
      <c r="W154" s="87">
        <f t="shared" si="80"/>
        <v>353427.29000000004</v>
      </c>
      <c r="X154" s="84">
        <f>SUM(X156:X166)</f>
        <v>325128</v>
      </c>
      <c r="Y154" s="84">
        <f>X154-W154</f>
        <v>-28299.290000000037</v>
      </c>
      <c r="Z154" s="211">
        <f>X154/W154</f>
        <v>0.91992896190896856</v>
      </c>
      <c r="AA154" s="191"/>
    </row>
    <row r="155" spans="1:27" ht="12.75" customHeight="1" x14ac:dyDescent="0.25">
      <c r="A155" s="117" t="s">
        <v>47</v>
      </c>
      <c r="B155" s="103"/>
      <c r="C155" s="26"/>
      <c r="D155" s="27"/>
      <c r="E155" s="26"/>
      <c r="F155" s="26"/>
      <c r="G155" s="26"/>
      <c r="H155" s="28"/>
      <c r="I155" s="26"/>
      <c r="J155" s="26"/>
      <c r="K155" s="29"/>
      <c r="L155" s="26"/>
      <c r="M155" s="26"/>
      <c r="N155" s="28"/>
      <c r="O155" s="26"/>
      <c r="P155" s="28"/>
      <c r="Q155" s="26"/>
      <c r="R155" s="28"/>
      <c r="S155" s="26"/>
      <c r="T155" s="26"/>
      <c r="U155" s="26"/>
      <c r="V155" s="26"/>
      <c r="W155" s="29"/>
      <c r="X155" s="26"/>
      <c r="Y155" s="26"/>
      <c r="Z155" s="203"/>
    </row>
    <row r="156" spans="1:27" ht="15" customHeight="1" x14ac:dyDescent="0.25">
      <c r="A156" s="114" t="s">
        <v>67</v>
      </c>
      <c r="B156" s="90"/>
      <c r="C156" s="34">
        <v>69797</v>
      </c>
      <c r="D156" s="27">
        <v>0</v>
      </c>
      <c r="E156" s="26">
        <f>SUM(C156:D156)</f>
        <v>69797</v>
      </c>
      <c r="F156" s="26">
        <v>8500</v>
      </c>
      <c r="G156" s="26">
        <f>0</f>
        <v>0</v>
      </c>
      <c r="H156" s="28">
        <f>SUM(E156:G156)</f>
        <v>78297</v>
      </c>
      <c r="I156" s="26">
        <v>0</v>
      </c>
      <c r="J156" s="26">
        <f>1325+917</f>
        <v>2242</v>
      </c>
      <c r="K156" s="29">
        <f t="shared" si="84"/>
        <v>80539</v>
      </c>
      <c r="L156" s="34">
        <v>80859</v>
      </c>
      <c r="M156" s="34">
        <f>L156-K156</f>
        <v>320</v>
      </c>
      <c r="N156" s="35">
        <f>L156/K156</f>
        <v>1.0039732303604465</v>
      </c>
      <c r="O156" s="34">
        <f>0</f>
        <v>0</v>
      </c>
      <c r="P156" s="35">
        <f>L156+O156</f>
        <v>80859</v>
      </c>
      <c r="Q156" s="34">
        <v>10402</v>
      </c>
      <c r="R156" s="35">
        <f>2.35+190</f>
        <v>192.35</v>
      </c>
      <c r="S156" s="34">
        <f>SUM(P156:R156)</f>
        <v>91453.35</v>
      </c>
      <c r="T156" s="34">
        <v>0</v>
      </c>
      <c r="U156" s="34">
        <v>0</v>
      </c>
      <c r="V156" s="26">
        <f>444+227</f>
        <v>671</v>
      </c>
      <c r="W156" s="29">
        <f t="shared" si="80"/>
        <v>92124.35</v>
      </c>
      <c r="X156" s="34">
        <v>71786</v>
      </c>
      <c r="Y156" s="34">
        <f>X156-W156</f>
        <v>-20338.350000000006</v>
      </c>
      <c r="Z156" s="213">
        <f>X156/W156</f>
        <v>0.77922937855192465</v>
      </c>
    </row>
    <row r="157" spans="1:27" ht="15" customHeight="1" x14ac:dyDescent="0.25">
      <c r="A157" s="114" t="s">
        <v>160</v>
      </c>
      <c r="B157" s="113" t="s">
        <v>350</v>
      </c>
      <c r="C157" s="34">
        <v>113169</v>
      </c>
      <c r="D157" s="27">
        <v>0</v>
      </c>
      <c r="E157" s="26">
        <f t="shared" ref="E157:E166" si="86">SUM(C157:D157)</f>
        <v>113169</v>
      </c>
      <c r="F157" s="26">
        <v>7200</v>
      </c>
      <c r="G157" s="26">
        <v>0</v>
      </c>
      <c r="H157" s="28">
        <f t="shared" ref="H157:H160" si="87">SUM(E157:G157)</f>
        <v>120369</v>
      </c>
      <c r="I157" s="26">
        <v>9961</v>
      </c>
      <c r="J157" s="26">
        <v>0</v>
      </c>
      <c r="K157" s="29">
        <f t="shared" si="84"/>
        <v>130330</v>
      </c>
      <c r="L157" s="34">
        <v>142500</v>
      </c>
      <c r="M157" s="34">
        <f t="shared" ref="M157:M163" si="88">L157-K157</f>
        <v>12170</v>
      </c>
      <c r="N157" s="35">
        <f t="shared" ref="N157:N166" si="89">L157/K157</f>
        <v>1.0933783472723086</v>
      </c>
      <c r="O157" s="34">
        <v>0</v>
      </c>
      <c r="P157" s="35">
        <f t="shared" ref="P157:P166" si="90">L157+O157</f>
        <v>142500</v>
      </c>
      <c r="Q157" s="34">
        <v>2400</v>
      </c>
      <c r="R157" s="35">
        <v>0</v>
      </c>
      <c r="S157" s="34">
        <f t="shared" ref="S157:S166" si="91">SUM(P157:R157)</f>
        <v>144900</v>
      </c>
      <c r="T157" s="34">
        <v>0</v>
      </c>
      <c r="U157" s="34">
        <v>0</v>
      </c>
      <c r="V157" s="26">
        <v>0</v>
      </c>
      <c r="W157" s="29">
        <f t="shared" si="80"/>
        <v>144900</v>
      </c>
      <c r="X157" s="252">
        <v>132500</v>
      </c>
      <c r="Y157" s="34">
        <f t="shared" ref="Y157:Y166" si="92">X157-W157</f>
        <v>-12400</v>
      </c>
      <c r="Z157" s="213">
        <f t="shared" ref="Z157:Z166" si="93">X157/W157</f>
        <v>0.91442374051069708</v>
      </c>
    </row>
    <row r="158" spans="1:27" ht="15" customHeight="1" x14ac:dyDescent="0.25">
      <c r="A158" s="114" t="s">
        <v>161</v>
      </c>
      <c r="B158" s="113" t="s">
        <v>350</v>
      </c>
      <c r="C158" s="34">
        <v>21850</v>
      </c>
      <c r="D158" s="27">
        <v>0</v>
      </c>
      <c r="E158" s="26">
        <f t="shared" si="86"/>
        <v>21850</v>
      </c>
      <c r="F158" s="26">
        <v>0</v>
      </c>
      <c r="G158" s="26">
        <f>50.72</f>
        <v>50.72</v>
      </c>
      <c r="H158" s="28">
        <f t="shared" si="87"/>
        <v>21900.720000000001</v>
      </c>
      <c r="I158" s="26">
        <v>0</v>
      </c>
      <c r="J158" s="26">
        <v>0</v>
      </c>
      <c r="K158" s="29">
        <f t="shared" si="84"/>
        <v>21900.720000000001</v>
      </c>
      <c r="L158" s="34">
        <v>22500</v>
      </c>
      <c r="M158" s="34">
        <f t="shared" si="88"/>
        <v>599.27999999999884</v>
      </c>
      <c r="N158" s="35">
        <f t="shared" si="89"/>
        <v>1.0273634839402539</v>
      </c>
      <c r="O158" s="34">
        <f>232.94</f>
        <v>232.94</v>
      </c>
      <c r="P158" s="35">
        <f t="shared" si="90"/>
        <v>22732.94</v>
      </c>
      <c r="Q158" s="34">
        <v>0</v>
      </c>
      <c r="R158" s="35">
        <v>0</v>
      </c>
      <c r="S158" s="34">
        <f t="shared" si="91"/>
        <v>22732.94</v>
      </c>
      <c r="T158" s="34">
        <v>0</v>
      </c>
      <c r="U158" s="34">
        <v>0</v>
      </c>
      <c r="V158" s="26">
        <v>0</v>
      </c>
      <c r="W158" s="29">
        <f t="shared" si="80"/>
        <v>22732.94</v>
      </c>
      <c r="X158" s="34">
        <v>25000</v>
      </c>
      <c r="Y158" s="34">
        <f t="shared" si="92"/>
        <v>2267.0600000000013</v>
      </c>
      <c r="Z158" s="213">
        <f t="shared" si="93"/>
        <v>1.0997257723813991</v>
      </c>
    </row>
    <row r="159" spans="1:27" ht="15" customHeight="1" x14ac:dyDescent="0.25">
      <c r="A159" s="114" t="s">
        <v>162</v>
      </c>
      <c r="B159" s="113" t="s">
        <v>350</v>
      </c>
      <c r="C159" s="34">
        <v>195</v>
      </c>
      <c r="D159" s="27">
        <v>0</v>
      </c>
      <c r="E159" s="26">
        <f t="shared" si="86"/>
        <v>195</v>
      </c>
      <c r="F159" s="26">
        <v>0</v>
      </c>
      <c r="G159" s="26">
        <v>0</v>
      </c>
      <c r="H159" s="28">
        <f t="shared" si="87"/>
        <v>195</v>
      </c>
      <c r="I159" s="26">
        <v>0</v>
      </c>
      <c r="J159" s="26">
        <v>0</v>
      </c>
      <c r="K159" s="29">
        <f t="shared" si="84"/>
        <v>195</v>
      </c>
      <c r="L159" s="34">
        <v>206</v>
      </c>
      <c r="M159" s="34">
        <f t="shared" si="88"/>
        <v>11</v>
      </c>
      <c r="N159" s="35">
        <f t="shared" si="89"/>
        <v>1.0564102564102564</v>
      </c>
      <c r="O159" s="34">
        <v>0</v>
      </c>
      <c r="P159" s="35">
        <f t="shared" si="90"/>
        <v>206</v>
      </c>
      <c r="Q159" s="34">
        <v>0</v>
      </c>
      <c r="R159" s="35">
        <v>0</v>
      </c>
      <c r="S159" s="34">
        <f t="shared" si="91"/>
        <v>206</v>
      </c>
      <c r="T159" s="34">
        <v>0</v>
      </c>
      <c r="U159" s="34">
        <v>0</v>
      </c>
      <c r="V159" s="26">
        <v>0</v>
      </c>
      <c r="W159" s="29">
        <f t="shared" si="80"/>
        <v>206</v>
      </c>
      <c r="X159" s="34">
        <v>228</v>
      </c>
      <c r="Y159" s="34">
        <f t="shared" si="92"/>
        <v>22</v>
      </c>
      <c r="Z159" s="213">
        <f t="shared" si="93"/>
        <v>1.1067961165048543</v>
      </c>
    </row>
    <row r="160" spans="1:27" ht="15" customHeight="1" x14ac:dyDescent="0.25">
      <c r="A160" s="114" t="s">
        <v>163</v>
      </c>
      <c r="B160" s="113" t="s">
        <v>350</v>
      </c>
      <c r="C160" s="34">
        <v>171</v>
      </c>
      <c r="D160" s="27">
        <v>0</v>
      </c>
      <c r="E160" s="26">
        <f t="shared" si="86"/>
        <v>171</v>
      </c>
      <c r="F160" s="26">
        <v>0</v>
      </c>
      <c r="G160" s="26">
        <v>0</v>
      </c>
      <c r="H160" s="28">
        <f t="shared" si="87"/>
        <v>171</v>
      </c>
      <c r="I160" s="26">
        <v>0</v>
      </c>
      <c r="J160" s="26">
        <v>0</v>
      </c>
      <c r="K160" s="29">
        <f t="shared" si="84"/>
        <v>171</v>
      </c>
      <c r="L160" s="34">
        <v>170</v>
      </c>
      <c r="M160" s="34">
        <f t="shared" si="88"/>
        <v>-1</v>
      </c>
      <c r="N160" s="35">
        <f t="shared" si="89"/>
        <v>0.99415204678362568</v>
      </c>
      <c r="O160" s="34">
        <v>0</v>
      </c>
      <c r="P160" s="35">
        <f t="shared" si="90"/>
        <v>170</v>
      </c>
      <c r="Q160" s="34">
        <v>0</v>
      </c>
      <c r="R160" s="35">
        <v>0</v>
      </c>
      <c r="S160" s="34">
        <f t="shared" si="91"/>
        <v>170</v>
      </c>
      <c r="T160" s="34">
        <v>0</v>
      </c>
      <c r="U160" s="34">
        <v>0</v>
      </c>
      <c r="V160" s="26">
        <v>0</v>
      </c>
      <c r="W160" s="29">
        <f t="shared" si="80"/>
        <v>170</v>
      </c>
      <c r="X160" s="34">
        <v>189</v>
      </c>
      <c r="Y160" s="34">
        <f t="shared" si="92"/>
        <v>19</v>
      </c>
      <c r="Z160" s="213">
        <f t="shared" si="93"/>
        <v>1.111764705882353</v>
      </c>
    </row>
    <row r="161" spans="1:27" ht="15" customHeight="1" x14ac:dyDescent="0.25">
      <c r="A161" s="114" t="s">
        <v>164</v>
      </c>
      <c r="B161" s="113" t="s">
        <v>350</v>
      </c>
      <c r="C161" s="34">
        <v>833</v>
      </c>
      <c r="D161" s="27">
        <v>0</v>
      </c>
      <c r="E161" s="26">
        <f t="shared" si="86"/>
        <v>833</v>
      </c>
      <c r="F161" s="26">
        <v>0</v>
      </c>
      <c r="G161" s="26">
        <v>0</v>
      </c>
      <c r="H161" s="28">
        <f>SUM(E161:G161)</f>
        <v>833</v>
      </c>
      <c r="I161" s="26">
        <v>0</v>
      </c>
      <c r="J161" s="26">
        <v>0</v>
      </c>
      <c r="K161" s="29">
        <f t="shared" si="84"/>
        <v>833</v>
      </c>
      <c r="L161" s="34">
        <v>944</v>
      </c>
      <c r="M161" s="34">
        <f t="shared" si="88"/>
        <v>111</v>
      </c>
      <c r="N161" s="35">
        <f t="shared" si="89"/>
        <v>1.1332533013205282</v>
      </c>
      <c r="O161" s="34">
        <v>0</v>
      </c>
      <c r="P161" s="35">
        <f t="shared" si="90"/>
        <v>944</v>
      </c>
      <c r="Q161" s="34">
        <v>0</v>
      </c>
      <c r="R161" s="35">
        <v>0</v>
      </c>
      <c r="S161" s="34">
        <f t="shared" si="91"/>
        <v>944</v>
      </c>
      <c r="T161" s="34">
        <v>0</v>
      </c>
      <c r="U161" s="34">
        <v>0</v>
      </c>
      <c r="V161" s="26">
        <v>0</v>
      </c>
      <c r="W161" s="29">
        <f t="shared" si="80"/>
        <v>944</v>
      </c>
      <c r="X161" s="34">
        <v>1047</v>
      </c>
      <c r="Y161" s="34">
        <f t="shared" si="92"/>
        <v>103</v>
      </c>
      <c r="Z161" s="213">
        <f t="shared" si="93"/>
        <v>1.1091101694915255</v>
      </c>
    </row>
    <row r="162" spans="1:27" ht="15" customHeight="1" x14ac:dyDescent="0.25">
      <c r="A162" s="114" t="s">
        <v>165</v>
      </c>
      <c r="B162" s="113" t="s">
        <v>350</v>
      </c>
      <c r="C162" s="34">
        <v>213</v>
      </c>
      <c r="D162" s="27">
        <v>0</v>
      </c>
      <c r="E162" s="26">
        <f t="shared" si="86"/>
        <v>213</v>
      </c>
      <c r="F162" s="26">
        <v>0</v>
      </c>
      <c r="G162" s="26">
        <v>0</v>
      </c>
      <c r="H162" s="28">
        <f t="shared" ref="H162:H166" si="94">SUM(E162:G162)</f>
        <v>213</v>
      </c>
      <c r="I162" s="26">
        <v>0</v>
      </c>
      <c r="J162" s="26">
        <v>0</v>
      </c>
      <c r="K162" s="29">
        <f t="shared" si="84"/>
        <v>213</v>
      </c>
      <c r="L162" s="34">
        <v>250</v>
      </c>
      <c r="M162" s="34">
        <f t="shared" si="88"/>
        <v>37</v>
      </c>
      <c r="N162" s="35">
        <f t="shared" si="89"/>
        <v>1.1737089201877935</v>
      </c>
      <c r="O162" s="34">
        <v>0</v>
      </c>
      <c r="P162" s="35">
        <f t="shared" si="90"/>
        <v>250</v>
      </c>
      <c r="Q162" s="34">
        <v>0</v>
      </c>
      <c r="R162" s="35">
        <v>0</v>
      </c>
      <c r="S162" s="34">
        <f t="shared" si="91"/>
        <v>250</v>
      </c>
      <c r="T162" s="34">
        <v>0</v>
      </c>
      <c r="U162" s="34">
        <v>0</v>
      </c>
      <c r="V162" s="26">
        <v>0</v>
      </c>
      <c r="W162" s="29">
        <f t="shared" si="80"/>
        <v>250</v>
      </c>
      <c r="X162" s="34">
        <v>277</v>
      </c>
      <c r="Y162" s="34">
        <f t="shared" si="92"/>
        <v>27</v>
      </c>
      <c r="Z162" s="213">
        <f t="shared" si="93"/>
        <v>1.1080000000000001</v>
      </c>
    </row>
    <row r="163" spans="1:27" ht="27.75" customHeight="1" x14ac:dyDescent="0.25">
      <c r="A163" s="32" t="s">
        <v>166</v>
      </c>
      <c r="B163" s="113" t="s">
        <v>350</v>
      </c>
      <c r="C163" s="34">
        <v>82</v>
      </c>
      <c r="D163" s="27">
        <v>0</v>
      </c>
      <c r="E163" s="26">
        <f t="shared" si="86"/>
        <v>82</v>
      </c>
      <c r="F163" s="26">
        <v>0</v>
      </c>
      <c r="G163" s="26">
        <v>0</v>
      </c>
      <c r="H163" s="28">
        <f t="shared" si="94"/>
        <v>82</v>
      </c>
      <c r="I163" s="26">
        <v>35</v>
      </c>
      <c r="J163" s="26">
        <v>0</v>
      </c>
      <c r="K163" s="29">
        <f t="shared" si="84"/>
        <v>117</v>
      </c>
      <c r="L163" s="34">
        <v>135</v>
      </c>
      <c r="M163" s="34">
        <f t="shared" si="88"/>
        <v>18</v>
      </c>
      <c r="N163" s="35">
        <f t="shared" si="89"/>
        <v>1.1538461538461537</v>
      </c>
      <c r="O163" s="34">
        <v>0</v>
      </c>
      <c r="P163" s="35">
        <f t="shared" si="90"/>
        <v>135</v>
      </c>
      <c r="Q163" s="34">
        <v>0</v>
      </c>
      <c r="R163" s="35">
        <v>0</v>
      </c>
      <c r="S163" s="34">
        <f t="shared" si="91"/>
        <v>135</v>
      </c>
      <c r="T163" s="34">
        <v>0</v>
      </c>
      <c r="U163" s="34">
        <v>0</v>
      </c>
      <c r="V163" s="26">
        <v>0</v>
      </c>
      <c r="W163" s="29">
        <f t="shared" si="80"/>
        <v>135</v>
      </c>
      <c r="X163" s="34">
        <v>150</v>
      </c>
      <c r="Y163" s="34">
        <f t="shared" si="92"/>
        <v>15</v>
      </c>
      <c r="Z163" s="213">
        <f t="shared" si="93"/>
        <v>1.1111111111111112</v>
      </c>
    </row>
    <row r="164" spans="1:27" ht="24.75" customHeight="1" x14ac:dyDescent="0.25">
      <c r="A164" s="32" t="s">
        <v>167</v>
      </c>
      <c r="B164" s="113"/>
      <c r="C164" s="34"/>
      <c r="D164" s="91"/>
      <c r="E164" s="34"/>
      <c r="F164" s="34"/>
      <c r="G164" s="34"/>
      <c r="H164" s="35"/>
      <c r="I164" s="34"/>
      <c r="J164" s="34"/>
      <c r="K164" s="93"/>
      <c r="L164" s="34">
        <v>0</v>
      </c>
      <c r="M164" s="34"/>
      <c r="N164" s="35"/>
      <c r="O164" s="34"/>
      <c r="P164" s="35">
        <v>0</v>
      </c>
      <c r="Q164" s="34">
        <v>1500</v>
      </c>
      <c r="R164" s="35">
        <v>0</v>
      </c>
      <c r="S164" s="34">
        <f t="shared" si="91"/>
        <v>1500</v>
      </c>
      <c r="T164" s="34">
        <v>0</v>
      </c>
      <c r="U164" s="34">
        <v>0</v>
      </c>
      <c r="V164" s="26">
        <v>0</v>
      </c>
      <c r="W164" s="29">
        <f t="shared" si="80"/>
        <v>1500</v>
      </c>
      <c r="X164" s="34">
        <v>0</v>
      </c>
      <c r="Y164" s="34">
        <f t="shared" si="92"/>
        <v>-1500</v>
      </c>
      <c r="Z164" s="213">
        <f t="shared" si="93"/>
        <v>0</v>
      </c>
    </row>
    <row r="165" spans="1:27" ht="40.5" customHeight="1" x14ac:dyDescent="0.25">
      <c r="A165" s="24" t="s">
        <v>78</v>
      </c>
      <c r="B165" s="118"/>
      <c r="C165" s="26"/>
      <c r="D165" s="27"/>
      <c r="E165" s="26"/>
      <c r="F165" s="26"/>
      <c r="G165" s="26"/>
      <c r="H165" s="28"/>
      <c r="I165" s="26"/>
      <c r="J165" s="26"/>
      <c r="K165" s="29"/>
      <c r="L165" s="26">
        <v>0</v>
      </c>
      <c r="M165" s="26"/>
      <c r="N165" s="28"/>
      <c r="O165" s="26"/>
      <c r="P165" s="28">
        <v>0</v>
      </c>
      <c r="Q165" s="26">
        <v>2450</v>
      </c>
      <c r="R165" s="28">
        <v>0</v>
      </c>
      <c r="S165" s="26">
        <f>SUM(P165:R165)</f>
        <v>2450</v>
      </c>
      <c r="T165" s="26">
        <v>0</v>
      </c>
      <c r="U165" s="26">
        <v>0</v>
      </c>
      <c r="V165" s="26">
        <v>0</v>
      </c>
      <c r="W165" s="29">
        <f t="shared" si="80"/>
        <v>2450</v>
      </c>
      <c r="X165" s="26">
        <v>2450</v>
      </c>
      <c r="Y165" s="34">
        <f t="shared" si="92"/>
        <v>0</v>
      </c>
      <c r="Z165" s="213">
        <f t="shared" si="93"/>
        <v>1</v>
      </c>
    </row>
    <row r="166" spans="1:27" ht="26.25" customHeight="1" thickBot="1" x14ac:dyDescent="0.3">
      <c r="A166" s="49" t="s">
        <v>168</v>
      </c>
      <c r="B166" s="95"/>
      <c r="C166" s="40">
        <v>63569</v>
      </c>
      <c r="D166" s="39">
        <v>0</v>
      </c>
      <c r="E166" s="40">
        <f t="shared" si="86"/>
        <v>63569</v>
      </c>
      <c r="F166" s="40">
        <v>1357</v>
      </c>
      <c r="G166" s="40">
        <v>0</v>
      </c>
      <c r="H166" s="41">
        <f t="shared" si="94"/>
        <v>64926</v>
      </c>
      <c r="I166" s="40">
        <v>465</v>
      </c>
      <c r="J166" s="40">
        <v>0</v>
      </c>
      <c r="K166" s="194">
        <f t="shared" si="84"/>
        <v>65391</v>
      </c>
      <c r="L166" s="40">
        <v>85270</v>
      </c>
      <c r="M166" s="40">
        <f>L166-K166</f>
        <v>19879</v>
      </c>
      <c r="N166" s="41">
        <f t="shared" si="89"/>
        <v>1.3040020797969138</v>
      </c>
      <c r="O166" s="40">
        <v>0</v>
      </c>
      <c r="P166" s="41">
        <f t="shared" si="90"/>
        <v>85270</v>
      </c>
      <c r="Q166" s="40">
        <v>2756</v>
      </c>
      <c r="R166" s="41">
        <f>-11</f>
        <v>-11</v>
      </c>
      <c r="S166" s="38">
        <f t="shared" si="91"/>
        <v>88015</v>
      </c>
      <c r="T166" s="38">
        <v>0</v>
      </c>
      <c r="U166" s="38">
        <v>0</v>
      </c>
      <c r="V166" s="40">
        <v>0</v>
      </c>
      <c r="W166" s="194">
        <f t="shared" si="80"/>
        <v>88015</v>
      </c>
      <c r="X166" s="40">
        <v>91501</v>
      </c>
      <c r="Y166" s="34">
        <f t="shared" si="92"/>
        <v>3486</v>
      </c>
      <c r="Z166" s="213">
        <f t="shared" si="93"/>
        <v>1.0396068851900244</v>
      </c>
    </row>
    <row r="167" spans="1:27" ht="15" customHeight="1" thickBot="1" x14ac:dyDescent="0.3">
      <c r="A167" s="116" t="s">
        <v>169</v>
      </c>
      <c r="B167" s="109"/>
      <c r="C167" s="84">
        <f>SUM(C169:C176)</f>
        <v>116589.95</v>
      </c>
      <c r="D167" s="85">
        <f>SUM(D169:D176)</f>
        <v>0</v>
      </c>
      <c r="E167" s="84">
        <f>SUM(C167:D167)</f>
        <v>116589.95</v>
      </c>
      <c r="F167" s="84">
        <f>SUM(F169:F176)</f>
        <v>3441.1</v>
      </c>
      <c r="G167" s="84">
        <f>SUM(G169:G176)</f>
        <v>110</v>
      </c>
      <c r="H167" s="86">
        <f>SUM(H169:H176)</f>
        <v>120142.55</v>
      </c>
      <c r="I167" s="84">
        <f>SUM(I169:I176)</f>
        <v>200</v>
      </c>
      <c r="J167" s="84">
        <f>SUM(J169:J176)</f>
        <v>0</v>
      </c>
      <c r="K167" s="87">
        <f t="shared" si="84"/>
        <v>120342.55</v>
      </c>
      <c r="L167" s="84">
        <f t="shared" ref="L167" si="95">SUM(L169:L176)</f>
        <v>143507.16999999998</v>
      </c>
      <c r="M167" s="84">
        <f>SUM(M169:M176)</f>
        <v>23164.619999999988</v>
      </c>
      <c r="N167" s="86">
        <f>L167/K167</f>
        <v>1.1924890240401254</v>
      </c>
      <c r="O167" s="84">
        <f t="shared" ref="O167:T167" si="96">SUM(O169:O176)</f>
        <v>39.89</v>
      </c>
      <c r="P167" s="87">
        <f t="shared" si="96"/>
        <v>143547.06</v>
      </c>
      <c r="Q167" s="84">
        <f t="shared" si="96"/>
        <v>711.33</v>
      </c>
      <c r="R167" s="86">
        <f t="shared" si="96"/>
        <v>306.91000000000003</v>
      </c>
      <c r="S167" s="84">
        <f t="shared" si="96"/>
        <v>144565.29999999999</v>
      </c>
      <c r="T167" s="84">
        <f t="shared" si="96"/>
        <v>1180</v>
      </c>
      <c r="U167" s="84">
        <f>SUM(U169:U176)</f>
        <v>0</v>
      </c>
      <c r="V167" s="84">
        <f>SUM(V169:V176)</f>
        <v>0.5600000000000005</v>
      </c>
      <c r="W167" s="87">
        <f t="shared" si="80"/>
        <v>145745.85999999999</v>
      </c>
      <c r="X167" s="84">
        <f t="shared" ref="X167" si="97">SUM(X169:X176)</f>
        <v>152530.56</v>
      </c>
      <c r="Y167" s="84">
        <f>X167-W167</f>
        <v>6784.7000000000116</v>
      </c>
      <c r="Z167" s="211">
        <f>X167/W167</f>
        <v>1.0465515795783153</v>
      </c>
      <c r="AA167" s="191"/>
    </row>
    <row r="168" spans="1:27" ht="12" customHeight="1" x14ac:dyDescent="0.25">
      <c r="A168" s="117" t="s">
        <v>47</v>
      </c>
      <c r="B168" s="103"/>
      <c r="C168" s="26"/>
      <c r="D168" s="27"/>
      <c r="E168" s="26"/>
      <c r="F168" s="26"/>
      <c r="G168" s="26"/>
      <c r="H168" s="28"/>
      <c r="I168" s="26"/>
      <c r="J168" s="26"/>
      <c r="K168" s="29"/>
      <c r="L168" s="26"/>
      <c r="M168" s="26"/>
      <c r="N168" s="28"/>
      <c r="O168" s="26"/>
      <c r="P168" s="28"/>
      <c r="Q168" s="26"/>
      <c r="R168" s="28"/>
      <c r="S168" s="26"/>
      <c r="T168" s="26"/>
      <c r="U168" s="26"/>
      <c r="V168" s="26"/>
      <c r="W168" s="29"/>
      <c r="X168" s="26"/>
      <c r="Y168" s="26"/>
      <c r="Z168" s="203"/>
    </row>
    <row r="169" spans="1:27" ht="25.5" customHeight="1" x14ac:dyDescent="0.25">
      <c r="A169" s="107" t="s">
        <v>170</v>
      </c>
      <c r="B169" s="90"/>
      <c r="C169" s="34">
        <v>0</v>
      </c>
      <c r="D169" s="27">
        <v>0</v>
      </c>
      <c r="E169" s="26">
        <f>SUM(C169:D169)</f>
        <v>0</v>
      </c>
      <c r="F169" s="26">
        <v>86.1</v>
      </c>
      <c r="G169" s="26">
        <v>0</v>
      </c>
      <c r="H169" s="28">
        <f>SUM(E169:G169)</f>
        <v>86.1</v>
      </c>
      <c r="I169" s="26">
        <v>0</v>
      </c>
      <c r="J169" s="26">
        <v>0</v>
      </c>
      <c r="K169" s="29">
        <f t="shared" si="84"/>
        <v>86.1</v>
      </c>
      <c r="L169" s="34">
        <v>374.93</v>
      </c>
      <c r="M169" s="34">
        <f>L169-K169</f>
        <v>288.83000000000004</v>
      </c>
      <c r="N169" s="35">
        <f>L169/K169</f>
        <v>4.3545876887340302</v>
      </c>
      <c r="O169" s="34">
        <v>0</v>
      </c>
      <c r="P169" s="35">
        <f>L169+O169</f>
        <v>374.93</v>
      </c>
      <c r="Q169" s="34">
        <v>0</v>
      </c>
      <c r="R169" s="35">
        <v>0</v>
      </c>
      <c r="S169" s="34">
        <f>SUM(P169:R169)</f>
        <v>374.93</v>
      </c>
      <c r="T169" s="34">
        <v>0</v>
      </c>
      <c r="U169" s="34">
        <v>0</v>
      </c>
      <c r="V169" s="26">
        <v>0</v>
      </c>
      <c r="W169" s="29">
        <f t="shared" si="80"/>
        <v>374.93</v>
      </c>
      <c r="X169" s="57" t="s">
        <v>263</v>
      </c>
      <c r="Y169" s="57" t="s">
        <v>263</v>
      </c>
      <c r="Z169" s="212" t="s">
        <v>263</v>
      </c>
    </row>
    <row r="170" spans="1:27" ht="15" customHeight="1" x14ac:dyDescent="0.25">
      <c r="A170" s="114" t="s">
        <v>67</v>
      </c>
      <c r="B170" s="90"/>
      <c r="C170" s="34">
        <v>3187</v>
      </c>
      <c r="D170" s="27">
        <v>0</v>
      </c>
      <c r="E170" s="26">
        <f t="shared" ref="E170:E176" si="98">SUM(C170:D170)</f>
        <v>3187</v>
      </c>
      <c r="F170" s="26">
        <v>699</v>
      </c>
      <c r="G170" s="26">
        <v>0</v>
      </c>
      <c r="H170" s="28">
        <f>SUM(E170:G170)+1.5</f>
        <v>3887.5</v>
      </c>
      <c r="I170" s="26">
        <v>0</v>
      </c>
      <c r="J170" s="26">
        <v>0</v>
      </c>
      <c r="K170" s="29">
        <f t="shared" si="84"/>
        <v>3887.5</v>
      </c>
      <c r="L170" s="34">
        <v>4475.1899999999996</v>
      </c>
      <c r="M170" s="34">
        <f t="shared" ref="M170:M176" si="99">L170-K170</f>
        <v>587.6899999999996</v>
      </c>
      <c r="N170" s="35">
        <f t="shared" ref="N170:N176" si="100">L170/K170</f>
        <v>1.1511742765273312</v>
      </c>
      <c r="O170" s="34">
        <f>0+39.89</f>
        <v>39.89</v>
      </c>
      <c r="P170" s="35">
        <f t="shared" ref="P170:P176" si="101">L170+O170</f>
        <v>4515.08</v>
      </c>
      <c r="Q170" s="34">
        <v>0</v>
      </c>
      <c r="R170" s="35">
        <f>306.91</f>
        <v>306.91000000000003</v>
      </c>
      <c r="S170" s="34">
        <f t="shared" ref="S170:S175" si="102">SUM(P170:R170)</f>
        <v>4821.99</v>
      </c>
      <c r="T170" s="34">
        <v>93</v>
      </c>
      <c r="U170" s="34">
        <v>0</v>
      </c>
      <c r="V170" s="26">
        <f>0.56-6.9</f>
        <v>-6.34</v>
      </c>
      <c r="W170" s="29">
        <f t="shared" ref="W170:W243" si="103">SUM(S170:V170)</f>
        <v>4908.6499999999996</v>
      </c>
      <c r="X170" s="34">
        <v>4590</v>
      </c>
      <c r="Y170" s="34">
        <f>X170-W170</f>
        <v>-318.64999999999964</v>
      </c>
      <c r="Z170" s="213">
        <f>X170/W170</f>
        <v>0.93508398439489482</v>
      </c>
    </row>
    <row r="171" spans="1:27" ht="30.75" customHeight="1" x14ac:dyDescent="0.25">
      <c r="A171" s="32" t="s">
        <v>171</v>
      </c>
      <c r="B171" s="113" t="s">
        <v>172</v>
      </c>
      <c r="C171" s="34">
        <v>165.22</v>
      </c>
      <c r="D171" s="27">
        <v>0</v>
      </c>
      <c r="E171" s="26">
        <f t="shared" si="98"/>
        <v>165.22</v>
      </c>
      <c r="F171" s="26">
        <v>0</v>
      </c>
      <c r="G171" s="26">
        <v>0</v>
      </c>
      <c r="H171" s="28">
        <f t="shared" ref="H171:H176" si="104">SUM(E171:G171)</f>
        <v>165.22</v>
      </c>
      <c r="I171" s="26">
        <v>0</v>
      </c>
      <c r="J171" s="26">
        <v>0</v>
      </c>
      <c r="K171" s="29">
        <f t="shared" si="84"/>
        <v>165.22</v>
      </c>
      <c r="L171" s="34">
        <v>55.25</v>
      </c>
      <c r="M171" s="34">
        <f t="shared" si="99"/>
        <v>-109.97</v>
      </c>
      <c r="N171" s="35">
        <f t="shared" si="100"/>
        <v>0.33440261469555743</v>
      </c>
      <c r="O171" s="34">
        <v>0</v>
      </c>
      <c r="P171" s="35">
        <f t="shared" si="101"/>
        <v>55.25</v>
      </c>
      <c r="Q171" s="34">
        <v>0</v>
      </c>
      <c r="R171" s="35">
        <v>0</v>
      </c>
      <c r="S171" s="34">
        <f t="shared" si="102"/>
        <v>55.25</v>
      </c>
      <c r="T171" s="34">
        <v>30</v>
      </c>
      <c r="U171" s="34">
        <v>0</v>
      </c>
      <c r="V171" s="26">
        <v>0</v>
      </c>
      <c r="W171" s="29">
        <f t="shared" si="103"/>
        <v>85.25</v>
      </c>
      <c r="X171" s="34">
        <v>350</v>
      </c>
      <c r="Y171" s="34">
        <f t="shared" ref="Y171:Y176" si="105">X171-W171</f>
        <v>264.75</v>
      </c>
      <c r="Z171" s="213">
        <f t="shared" ref="Z171:Z175" si="106">X171/W171</f>
        <v>4.1055718475073313</v>
      </c>
    </row>
    <row r="172" spans="1:27" ht="17.25" customHeight="1" x14ac:dyDescent="0.25">
      <c r="A172" s="32" t="s">
        <v>173</v>
      </c>
      <c r="B172" s="113" t="s">
        <v>174</v>
      </c>
      <c r="C172" s="34">
        <v>286.73</v>
      </c>
      <c r="D172" s="27">
        <v>0</v>
      </c>
      <c r="E172" s="26">
        <f t="shared" si="98"/>
        <v>286.73</v>
      </c>
      <c r="F172" s="26">
        <v>0</v>
      </c>
      <c r="G172" s="26">
        <v>0</v>
      </c>
      <c r="H172" s="28">
        <f t="shared" si="104"/>
        <v>286.73</v>
      </c>
      <c r="I172" s="26">
        <v>0</v>
      </c>
      <c r="J172" s="26">
        <v>0</v>
      </c>
      <c r="K172" s="29">
        <f t="shared" si="84"/>
        <v>286.73</v>
      </c>
      <c r="L172" s="34">
        <v>200</v>
      </c>
      <c r="M172" s="34">
        <f t="shared" si="99"/>
        <v>-86.730000000000018</v>
      </c>
      <c r="N172" s="35">
        <f t="shared" si="100"/>
        <v>0.69752031527918246</v>
      </c>
      <c r="O172" s="34">
        <v>0</v>
      </c>
      <c r="P172" s="35">
        <f t="shared" si="101"/>
        <v>200</v>
      </c>
      <c r="Q172" s="34">
        <v>0</v>
      </c>
      <c r="R172" s="35">
        <v>0</v>
      </c>
      <c r="S172" s="34">
        <f t="shared" si="102"/>
        <v>200</v>
      </c>
      <c r="T172" s="34">
        <v>0</v>
      </c>
      <c r="U172" s="34">
        <v>0</v>
      </c>
      <c r="V172" s="26">
        <v>0</v>
      </c>
      <c r="W172" s="29">
        <f t="shared" si="103"/>
        <v>200</v>
      </c>
      <c r="X172" s="34">
        <v>250</v>
      </c>
      <c r="Y172" s="34">
        <f t="shared" si="105"/>
        <v>50</v>
      </c>
      <c r="Z172" s="213">
        <f t="shared" si="106"/>
        <v>1.25</v>
      </c>
    </row>
    <row r="173" spans="1:27" ht="15" customHeight="1" x14ac:dyDescent="0.25">
      <c r="A173" s="114" t="s">
        <v>175</v>
      </c>
      <c r="B173" s="122"/>
      <c r="C173" s="34">
        <v>6</v>
      </c>
      <c r="D173" s="27">
        <v>0</v>
      </c>
      <c r="E173" s="26">
        <f t="shared" si="98"/>
        <v>6</v>
      </c>
      <c r="F173" s="26">
        <v>0</v>
      </c>
      <c r="G173" s="26">
        <v>0</v>
      </c>
      <c r="H173" s="28">
        <f t="shared" si="104"/>
        <v>6</v>
      </c>
      <c r="I173" s="26">
        <v>0</v>
      </c>
      <c r="J173" s="26">
        <v>0</v>
      </c>
      <c r="K173" s="29">
        <f t="shared" si="84"/>
        <v>6</v>
      </c>
      <c r="L173" s="34">
        <v>6</v>
      </c>
      <c r="M173" s="34">
        <f t="shared" si="99"/>
        <v>0</v>
      </c>
      <c r="N173" s="35">
        <f t="shared" si="100"/>
        <v>1</v>
      </c>
      <c r="O173" s="34">
        <v>0</v>
      </c>
      <c r="P173" s="35">
        <f t="shared" si="101"/>
        <v>6</v>
      </c>
      <c r="Q173" s="34">
        <v>0</v>
      </c>
      <c r="R173" s="35">
        <v>0</v>
      </c>
      <c r="S173" s="34">
        <f t="shared" si="102"/>
        <v>6</v>
      </c>
      <c r="T173" s="34">
        <v>0.16</v>
      </c>
      <c r="U173" s="34">
        <v>0</v>
      </c>
      <c r="V173" s="26">
        <v>0</v>
      </c>
      <c r="W173" s="29">
        <f t="shared" si="103"/>
        <v>6.16</v>
      </c>
      <c r="X173" s="34">
        <v>10</v>
      </c>
      <c r="Y173" s="34">
        <f t="shared" si="105"/>
        <v>3.84</v>
      </c>
      <c r="Z173" s="213">
        <f t="shared" si="106"/>
        <v>1.6233766233766234</v>
      </c>
    </row>
    <row r="174" spans="1:27" ht="15" customHeight="1" x14ac:dyDescent="0.25">
      <c r="A174" s="114" t="s">
        <v>176</v>
      </c>
      <c r="B174" s="151" t="s">
        <v>351</v>
      </c>
      <c r="C174" s="34">
        <v>180</v>
      </c>
      <c r="D174" s="27">
        <v>0</v>
      </c>
      <c r="E174" s="26">
        <f t="shared" si="98"/>
        <v>180</v>
      </c>
      <c r="F174" s="26">
        <v>0</v>
      </c>
      <c r="G174" s="26">
        <v>0</v>
      </c>
      <c r="H174" s="28">
        <f t="shared" si="104"/>
        <v>180</v>
      </c>
      <c r="I174" s="26">
        <v>0</v>
      </c>
      <c r="J174" s="26">
        <v>0</v>
      </c>
      <c r="K174" s="29">
        <f t="shared" si="84"/>
        <v>180</v>
      </c>
      <c r="L174" s="34">
        <v>180</v>
      </c>
      <c r="M174" s="34">
        <f t="shared" si="99"/>
        <v>0</v>
      </c>
      <c r="N174" s="35">
        <f t="shared" si="100"/>
        <v>1</v>
      </c>
      <c r="O174" s="34">
        <v>0</v>
      </c>
      <c r="P174" s="35">
        <f t="shared" si="101"/>
        <v>180</v>
      </c>
      <c r="Q174" s="34">
        <v>0</v>
      </c>
      <c r="R174" s="35">
        <v>0</v>
      </c>
      <c r="S174" s="34">
        <f t="shared" si="102"/>
        <v>180</v>
      </c>
      <c r="T174" s="34">
        <v>0</v>
      </c>
      <c r="U174" s="34">
        <v>0</v>
      </c>
      <c r="V174" s="26">
        <v>0</v>
      </c>
      <c r="W174" s="29">
        <f t="shared" si="103"/>
        <v>180</v>
      </c>
      <c r="X174" s="34">
        <v>180</v>
      </c>
      <c r="Y174" s="34">
        <f t="shared" si="105"/>
        <v>0</v>
      </c>
      <c r="Z174" s="213">
        <f t="shared" si="106"/>
        <v>1</v>
      </c>
    </row>
    <row r="175" spans="1:27" ht="15" customHeight="1" x14ac:dyDescent="0.25">
      <c r="A175" s="114" t="s">
        <v>177</v>
      </c>
      <c r="B175" s="151" t="s">
        <v>351</v>
      </c>
      <c r="C175" s="34">
        <v>810</v>
      </c>
      <c r="D175" s="27">
        <v>0</v>
      </c>
      <c r="E175" s="26">
        <f t="shared" si="98"/>
        <v>810</v>
      </c>
      <c r="F175" s="26">
        <v>0</v>
      </c>
      <c r="G175" s="26">
        <v>0</v>
      </c>
      <c r="H175" s="28">
        <f t="shared" si="104"/>
        <v>810</v>
      </c>
      <c r="I175" s="26">
        <v>0</v>
      </c>
      <c r="J175" s="26">
        <v>0</v>
      </c>
      <c r="K175" s="29">
        <f t="shared" si="84"/>
        <v>810</v>
      </c>
      <c r="L175" s="34">
        <v>810</v>
      </c>
      <c r="M175" s="34">
        <f t="shared" si="99"/>
        <v>0</v>
      </c>
      <c r="N175" s="35">
        <f t="shared" si="100"/>
        <v>1</v>
      </c>
      <c r="O175" s="34">
        <v>0</v>
      </c>
      <c r="P175" s="35">
        <f t="shared" si="101"/>
        <v>810</v>
      </c>
      <c r="Q175" s="34">
        <v>0</v>
      </c>
      <c r="R175" s="35">
        <v>0</v>
      </c>
      <c r="S175" s="34">
        <f t="shared" si="102"/>
        <v>810</v>
      </c>
      <c r="T175" s="34">
        <v>0</v>
      </c>
      <c r="U175" s="34">
        <v>0</v>
      </c>
      <c r="V175" s="26">
        <v>0</v>
      </c>
      <c r="W175" s="29">
        <f t="shared" si="103"/>
        <v>810</v>
      </c>
      <c r="X175" s="34">
        <v>810</v>
      </c>
      <c r="Y175" s="34">
        <f t="shared" si="105"/>
        <v>0</v>
      </c>
      <c r="Z175" s="213">
        <f t="shared" si="106"/>
        <v>1</v>
      </c>
    </row>
    <row r="176" spans="1:27" ht="30" customHeight="1" thickBot="1" x14ac:dyDescent="0.3">
      <c r="A176" s="36" t="s">
        <v>178</v>
      </c>
      <c r="B176" s="228"/>
      <c r="C176" s="38">
        <v>111955</v>
      </c>
      <c r="D176" s="99">
        <v>0</v>
      </c>
      <c r="E176" s="38">
        <f t="shared" si="98"/>
        <v>111955</v>
      </c>
      <c r="F176" s="38">
        <v>2656</v>
      </c>
      <c r="G176" s="38">
        <f>110</f>
        <v>110</v>
      </c>
      <c r="H176" s="42">
        <f t="shared" si="104"/>
        <v>114721</v>
      </c>
      <c r="I176" s="38">
        <v>200</v>
      </c>
      <c r="J176" s="38">
        <v>0</v>
      </c>
      <c r="K176" s="101">
        <f t="shared" si="84"/>
        <v>114921</v>
      </c>
      <c r="L176" s="38">
        <v>137405.79999999999</v>
      </c>
      <c r="M176" s="38">
        <f t="shared" si="99"/>
        <v>22484.799999999988</v>
      </c>
      <c r="N176" s="42">
        <f t="shared" si="100"/>
        <v>1.1956544060702567</v>
      </c>
      <c r="O176" s="38">
        <v>0</v>
      </c>
      <c r="P176" s="42">
        <f t="shared" si="101"/>
        <v>137405.79999999999</v>
      </c>
      <c r="Q176" s="38">
        <v>711.33</v>
      </c>
      <c r="R176" s="42">
        <v>0</v>
      </c>
      <c r="S176" s="38">
        <f>SUM(P176:R176)</f>
        <v>138117.12999999998</v>
      </c>
      <c r="T176" s="38">
        <v>1056.8399999999999</v>
      </c>
      <c r="U176" s="38">
        <v>0</v>
      </c>
      <c r="V176" s="38">
        <f>6.9</f>
        <v>6.9</v>
      </c>
      <c r="W176" s="101">
        <f t="shared" si="103"/>
        <v>139180.86999999997</v>
      </c>
      <c r="X176" s="38">
        <v>146340.56</v>
      </c>
      <c r="Y176" s="38">
        <f t="shared" si="105"/>
        <v>7159.6900000000314</v>
      </c>
      <c r="Z176" s="223">
        <f>X176/W176</f>
        <v>1.0514416241254996</v>
      </c>
    </row>
    <row r="177" spans="1:27" ht="16.350000000000001" customHeight="1" thickBot="1" x14ac:dyDescent="0.3">
      <c r="A177" s="116" t="s">
        <v>179</v>
      </c>
      <c r="B177" s="109"/>
      <c r="C177" s="84">
        <f>SUM(C179:C226)</f>
        <v>91591.54</v>
      </c>
      <c r="D177" s="85">
        <f>SUM(D179:D226)</f>
        <v>16.22</v>
      </c>
      <c r="E177" s="84">
        <f>SUM(C177:D177)</f>
        <v>91607.76</v>
      </c>
      <c r="F177" s="84">
        <f>SUM(F179:F226)</f>
        <v>5038.7700000000004</v>
      </c>
      <c r="G177" s="84">
        <f>SUM(G179:G226)</f>
        <v>-36.22</v>
      </c>
      <c r="H177" s="86">
        <f>SUM(H179:H226)</f>
        <v>96660.31</v>
      </c>
      <c r="I177" s="84">
        <f>SUM(I179:I226)</f>
        <v>8100</v>
      </c>
      <c r="J177" s="84">
        <f>SUM(J179:J226)</f>
        <v>17</v>
      </c>
      <c r="K177" s="87">
        <f t="shared" si="84"/>
        <v>104777.31</v>
      </c>
      <c r="L177" s="84">
        <f>SUM(L179:L226)</f>
        <v>109533.09999999999</v>
      </c>
      <c r="M177" s="84">
        <f>SUM(M179:M226)</f>
        <v>4755.7900000000009</v>
      </c>
      <c r="N177" s="86">
        <f>L177/K177</f>
        <v>1.0453895027463485</v>
      </c>
      <c r="O177" s="84">
        <f t="shared" ref="O177:T177" si="107">SUM(O179:O226)</f>
        <v>1490.08</v>
      </c>
      <c r="P177" s="87">
        <f t="shared" si="107"/>
        <v>111023.18</v>
      </c>
      <c r="Q177" s="84">
        <f t="shared" si="107"/>
        <v>11087.17</v>
      </c>
      <c r="R177" s="86">
        <f t="shared" si="107"/>
        <v>44470</v>
      </c>
      <c r="S177" s="84">
        <f t="shared" si="107"/>
        <v>166605.34999999998</v>
      </c>
      <c r="T177" s="84">
        <f t="shared" si="107"/>
        <v>0</v>
      </c>
      <c r="U177" s="84">
        <f>SUM(U179:U226)</f>
        <v>0</v>
      </c>
      <c r="V177" s="84">
        <f>SUM(V179:V226)</f>
        <v>17</v>
      </c>
      <c r="W177" s="87">
        <f t="shared" si="103"/>
        <v>166622.34999999998</v>
      </c>
      <c r="X177" s="84">
        <f t="shared" ref="X177" si="108">SUM(X179:X226)</f>
        <v>112053</v>
      </c>
      <c r="Y177" s="84">
        <f>X177-W177</f>
        <v>-54569.349999999977</v>
      </c>
      <c r="Z177" s="211">
        <f>X177/W177</f>
        <v>0.67249681690361474</v>
      </c>
      <c r="AA177" s="191"/>
    </row>
    <row r="178" spans="1:27" ht="15" customHeight="1" x14ac:dyDescent="0.25">
      <c r="A178" s="117" t="s">
        <v>47</v>
      </c>
      <c r="B178" s="103"/>
      <c r="C178" s="26"/>
      <c r="D178" s="27"/>
      <c r="E178" s="26"/>
      <c r="F178" s="26"/>
      <c r="G178" s="26"/>
      <c r="H178" s="28"/>
      <c r="I178" s="26"/>
      <c r="J178" s="26"/>
      <c r="K178" s="29"/>
      <c r="L178" s="26"/>
      <c r="M178" s="26"/>
      <c r="N178" s="28"/>
      <c r="O178" s="26"/>
      <c r="P178" s="28"/>
      <c r="Q178" s="26"/>
      <c r="R178" s="28"/>
      <c r="S178" s="26"/>
      <c r="T178" s="26"/>
      <c r="U178" s="26"/>
      <c r="V178" s="26"/>
      <c r="W178" s="29"/>
      <c r="X178" s="26"/>
      <c r="Y178" s="26"/>
      <c r="Z178" s="203"/>
    </row>
    <row r="179" spans="1:27" ht="16.5" customHeight="1" x14ac:dyDescent="0.25">
      <c r="A179" s="32" t="s">
        <v>180</v>
      </c>
      <c r="B179" s="90"/>
      <c r="C179" s="34">
        <v>0</v>
      </c>
      <c r="D179" s="27">
        <v>0</v>
      </c>
      <c r="E179" s="26">
        <f>SUM(C179:D179)</f>
        <v>0</v>
      </c>
      <c r="F179" s="26">
        <v>0</v>
      </c>
      <c r="G179" s="26">
        <f>5</f>
        <v>5</v>
      </c>
      <c r="H179" s="28">
        <f>SUM(E179:G179)+50</f>
        <v>55</v>
      </c>
      <c r="I179" s="26">
        <v>7850</v>
      </c>
      <c r="J179" s="26">
        <f>17</f>
        <v>17</v>
      </c>
      <c r="K179" s="29">
        <f t="shared" si="84"/>
        <v>7922</v>
      </c>
      <c r="L179" s="34">
        <v>0</v>
      </c>
      <c r="M179" s="34">
        <f>L179-K179</f>
        <v>-7922</v>
      </c>
      <c r="N179" s="35">
        <f>L179/K179</f>
        <v>0</v>
      </c>
      <c r="O179" s="34">
        <v>0</v>
      </c>
      <c r="P179" s="35">
        <f>L179+O179</f>
        <v>0</v>
      </c>
      <c r="Q179" s="34">
        <v>87.17</v>
      </c>
      <c r="R179" s="35">
        <v>0</v>
      </c>
      <c r="S179" s="34">
        <f>SUM(P179:R179)+25</f>
        <v>112.17</v>
      </c>
      <c r="T179" s="34">
        <v>0</v>
      </c>
      <c r="U179" s="34">
        <v>0</v>
      </c>
      <c r="V179" s="26">
        <f>17</f>
        <v>17</v>
      </c>
      <c r="W179" s="29">
        <f t="shared" si="103"/>
        <v>129.17000000000002</v>
      </c>
      <c r="X179" s="57" t="s">
        <v>263</v>
      </c>
      <c r="Y179" s="57" t="s">
        <v>263</v>
      </c>
      <c r="Z179" s="212" t="s">
        <v>263</v>
      </c>
    </row>
    <row r="180" spans="1:27" ht="28.5" customHeight="1" x14ac:dyDescent="0.25">
      <c r="A180" s="32" t="s">
        <v>379</v>
      </c>
      <c r="B180" s="90" t="s">
        <v>253</v>
      </c>
      <c r="C180" s="34"/>
      <c r="D180" s="27"/>
      <c r="E180" s="26"/>
      <c r="F180" s="26"/>
      <c r="G180" s="26"/>
      <c r="H180" s="28"/>
      <c r="I180" s="26"/>
      <c r="J180" s="26"/>
      <c r="K180" s="29"/>
      <c r="L180" s="34">
        <v>0</v>
      </c>
      <c r="M180" s="34"/>
      <c r="N180" s="35"/>
      <c r="O180" s="34"/>
      <c r="P180" s="35"/>
      <c r="Q180" s="34"/>
      <c r="R180" s="35"/>
      <c r="S180" s="34"/>
      <c r="T180" s="34"/>
      <c r="U180" s="34"/>
      <c r="V180" s="26"/>
      <c r="W180" s="29">
        <v>0</v>
      </c>
      <c r="X180" s="57">
        <v>850</v>
      </c>
      <c r="Y180" s="34">
        <f>X180-W180</f>
        <v>850</v>
      </c>
      <c r="Z180" s="212" t="s">
        <v>263</v>
      </c>
    </row>
    <row r="181" spans="1:27" ht="25.5" customHeight="1" x14ac:dyDescent="0.25">
      <c r="A181" s="32" t="s">
        <v>181</v>
      </c>
      <c r="B181" s="113" t="s">
        <v>182</v>
      </c>
      <c r="C181" s="34">
        <v>13000</v>
      </c>
      <c r="D181" s="27">
        <v>0</v>
      </c>
      <c r="E181" s="26">
        <f t="shared" ref="E181:E226" si="109">SUM(C181:D181)</f>
        <v>13000</v>
      </c>
      <c r="F181" s="26">
        <v>-17.5</v>
      </c>
      <c r="G181" s="26">
        <v>0</v>
      </c>
      <c r="H181" s="28">
        <f t="shared" ref="H181:H226" si="110">SUM(E181:G181)</f>
        <v>12982.5</v>
      </c>
      <c r="I181" s="26">
        <v>0</v>
      </c>
      <c r="J181" s="26">
        <v>0</v>
      </c>
      <c r="K181" s="29">
        <f t="shared" si="84"/>
        <v>12982.5</v>
      </c>
      <c r="L181" s="34">
        <v>15000</v>
      </c>
      <c r="M181" s="34">
        <f t="shared" ref="M181:M226" si="111">L181-K181</f>
        <v>2017.5</v>
      </c>
      <c r="N181" s="35">
        <f t="shared" ref="N181:N230" si="112">L181/K181</f>
        <v>1.1554015020219526</v>
      </c>
      <c r="O181" s="34">
        <v>0</v>
      </c>
      <c r="P181" s="35">
        <f t="shared" ref="P181:P226" si="113">L181+O181</f>
        <v>15000</v>
      </c>
      <c r="Q181" s="34">
        <v>0</v>
      </c>
      <c r="R181" s="35">
        <v>0</v>
      </c>
      <c r="S181" s="34">
        <f t="shared" ref="S181:S225" si="114">SUM(P181:R181)</f>
        <v>15000</v>
      </c>
      <c r="T181" s="34">
        <v>0</v>
      </c>
      <c r="U181" s="34">
        <v>0</v>
      </c>
      <c r="V181" s="26">
        <v>0</v>
      </c>
      <c r="W181" s="29">
        <f t="shared" si="103"/>
        <v>15000</v>
      </c>
      <c r="X181" s="34">
        <v>17000</v>
      </c>
      <c r="Y181" s="34">
        <f t="shared" ref="Y181:Y226" si="115">X181-W181</f>
        <v>2000</v>
      </c>
      <c r="Z181" s="213">
        <f t="shared" ref="Z181:Z226" si="116">X181/W181</f>
        <v>1.1333333333333333</v>
      </c>
    </row>
    <row r="182" spans="1:27" ht="17.25" customHeight="1" x14ac:dyDescent="0.25">
      <c r="A182" s="152" t="s">
        <v>361</v>
      </c>
      <c r="B182" s="113"/>
      <c r="C182" s="34">
        <v>400</v>
      </c>
      <c r="D182" s="27">
        <v>0</v>
      </c>
      <c r="E182" s="26">
        <f t="shared" si="109"/>
        <v>400</v>
      </c>
      <c r="F182" s="26">
        <v>0</v>
      </c>
      <c r="G182" s="26">
        <v>0</v>
      </c>
      <c r="H182" s="28">
        <f t="shared" si="110"/>
        <v>400</v>
      </c>
      <c r="I182" s="26">
        <v>0</v>
      </c>
      <c r="J182" s="26">
        <v>0</v>
      </c>
      <c r="K182" s="29">
        <f t="shared" si="84"/>
        <v>400</v>
      </c>
      <c r="L182" s="34">
        <v>800</v>
      </c>
      <c r="M182" s="34">
        <f t="shared" si="111"/>
        <v>400</v>
      </c>
      <c r="N182" s="35">
        <f t="shared" si="112"/>
        <v>2</v>
      </c>
      <c r="O182" s="34">
        <v>0</v>
      </c>
      <c r="P182" s="35">
        <f t="shared" si="113"/>
        <v>800</v>
      </c>
      <c r="Q182" s="34">
        <v>-225</v>
      </c>
      <c r="R182" s="35">
        <v>0</v>
      </c>
      <c r="S182" s="34">
        <f t="shared" si="114"/>
        <v>575</v>
      </c>
      <c r="T182" s="34">
        <v>0</v>
      </c>
      <c r="U182" s="34">
        <v>0</v>
      </c>
      <c r="V182" s="26">
        <v>0</v>
      </c>
      <c r="W182" s="29">
        <f t="shared" si="103"/>
        <v>575</v>
      </c>
      <c r="X182" s="34">
        <v>0</v>
      </c>
      <c r="Y182" s="34">
        <f t="shared" si="115"/>
        <v>-575</v>
      </c>
      <c r="Z182" s="213">
        <f t="shared" si="116"/>
        <v>0</v>
      </c>
    </row>
    <row r="183" spans="1:27" ht="25.5" customHeight="1" x14ac:dyDescent="0.25">
      <c r="A183" s="32" t="s">
        <v>358</v>
      </c>
      <c r="B183" s="113" t="s">
        <v>183</v>
      </c>
      <c r="C183" s="34"/>
      <c r="D183" s="27"/>
      <c r="E183" s="26"/>
      <c r="F183" s="26"/>
      <c r="G183" s="26"/>
      <c r="H183" s="28"/>
      <c r="I183" s="26"/>
      <c r="J183" s="26"/>
      <c r="K183" s="29"/>
      <c r="L183" s="34">
        <v>0</v>
      </c>
      <c r="M183" s="34"/>
      <c r="N183" s="35"/>
      <c r="O183" s="34"/>
      <c r="P183" s="35"/>
      <c r="Q183" s="34"/>
      <c r="R183" s="35"/>
      <c r="S183" s="34"/>
      <c r="T183" s="34"/>
      <c r="U183" s="34"/>
      <c r="V183" s="26"/>
      <c r="W183" s="29">
        <v>0</v>
      </c>
      <c r="X183" s="34">
        <v>1000</v>
      </c>
      <c r="Y183" s="34">
        <f t="shared" si="115"/>
        <v>1000</v>
      </c>
      <c r="Z183" s="212" t="s">
        <v>263</v>
      </c>
    </row>
    <row r="184" spans="1:27" ht="29.25" customHeight="1" x14ac:dyDescent="0.25">
      <c r="A184" s="32" t="s">
        <v>184</v>
      </c>
      <c r="B184" s="113" t="s">
        <v>185</v>
      </c>
      <c r="C184" s="34">
        <v>800</v>
      </c>
      <c r="D184" s="27">
        <v>0</v>
      </c>
      <c r="E184" s="26">
        <f t="shared" si="109"/>
        <v>800</v>
      </c>
      <c r="F184" s="26">
        <v>-72.5</v>
      </c>
      <c r="G184" s="26">
        <v>0</v>
      </c>
      <c r="H184" s="28">
        <f t="shared" si="110"/>
        <v>727.5</v>
      </c>
      <c r="I184" s="26">
        <v>0</v>
      </c>
      <c r="J184" s="26">
        <v>0</v>
      </c>
      <c r="K184" s="29">
        <f t="shared" si="84"/>
        <v>727.5</v>
      </c>
      <c r="L184" s="34">
        <v>900</v>
      </c>
      <c r="M184" s="34">
        <f t="shared" si="111"/>
        <v>172.5</v>
      </c>
      <c r="N184" s="35">
        <f t="shared" si="112"/>
        <v>1.2371134020618557</v>
      </c>
      <c r="O184" s="34">
        <v>0</v>
      </c>
      <c r="P184" s="35">
        <f t="shared" si="113"/>
        <v>900</v>
      </c>
      <c r="Q184" s="34">
        <v>0</v>
      </c>
      <c r="R184" s="35">
        <v>0</v>
      </c>
      <c r="S184" s="34">
        <f t="shared" si="114"/>
        <v>900</v>
      </c>
      <c r="T184" s="34">
        <v>0</v>
      </c>
      <c r="U184" s="34">
        <v>0</v>
      </c>
      <c r="V184" s="26">
        <v>0</v>
      </c>
      <c r="W184" s="29">
        <f t="shared" si="103"/>
        <v>900</v>
      </c>
      <c r="X184" s="34">
        <v>1600</v>
      </c>
      <c r="Y184" s="34">
        <f t="shared" si="115"/>
        <v>700</v>
      </c>
      <c r="Z184" s="213">
        <f t="shared" si="116"/>
        <v>1.7777777777777777</v>
      </c>
    </row>
    <row r="185" spans="1:27" ht="52.5" customHeight="1" x14ac:dyDescent="0.25">
      <c r="A185" s="32" t="s">
        <v>343</v>
      </c>
      <c r="B185" s="113" t="s">
        <v>350</v>
      </c>
      <c r="C185" s="34">
        <v>10950</v>
      </c>
      <c r="D185" s="27">
        <v>0</v>
      </c>
      <c r="E185" s="26">
        <f t="shared" si="109"/>
        <v>10950</v>
      </c>
      <c r="F185" s="26">
        <v>950</v>
      </c>
      <c r="G185" s="26">
        <v>0</v>
      </c>
      <c r="H185" s="28">
        <f t="shared" si="110"/>
        <v>11900</v>
      </c>
      <c r="I185" s="26">
        <v>0</v>
      </c>
      <c r="J185" s="26">
        <v>0</v>
      </c>
      <c r="K185" s="29">
        <f t="shared" si="84"/>
        <v>11900</v>
      </c>
      <c r="L185" s="119">
        <v>13846</v>
      </c>
      <c r="M185" s="34">
        <f t="shared" si="111"/>
        <v>1946</v>
      </c>
      <c r="N185" s="35">
        <f t="shared" si="112"/>
        <v>1.1635294117647059</v>
      </c>
      <c r="O185" s="34">
        <v>0</v>
      </c>
      <c r="P185" s="35">
        <f t="shared" si="113"/>
        <v>13846</v>
      </c>
      <c r="Q185" s="34">
        <v>0</v>
      </c>
      <c r="R185" s="35">
        <v>0</v>
      </c>
      <c r="S185" s="34">
        <f t="shared" si="114"/>
        <v>13846</v>
      </c>
      <c r="T185" s="34">
        <v>0</v>
      </c>
      <c r="U185" s="34">
        <v>0</v>
      </c>
      <c r="V185" s="26">
        <v>0</v>
      </c>
      <c r="W185" s="29">
        <f t="shared" si="103"/>
        <v>13846</v>
      </c>
      <c r="X185" s="119">
        <v>11900</v>
      </c>
      <c r="Y185" s="34">
        <f t="shared" si="115"/>
        <v>-1946</v>
      </c>
      <c r="Z185" s="213">
        <f t="shared" si="116"/>
        <v>0.85945399393326594</v>
      </c>
    </row>
    <row r="186" spans="1:27" ht="15" customHeight="1" x14ac:dyDescent="0.25">
      <c r="A186" s="32" t="s">
        <v>186</v>
      </c>
      <c r="B186" s="113"/>
      <c r="C186" s="34"/>
      <c r="D186" s="27"/>
      <c r="E186" s="26"/>
      <c r="F186" s="26"/>
      <c r="G186" s="26"/>
      <c r="H186" s="28"/>
      <c r="I186" s="26"/>
      <c r="J186" s="26"/>
      <c r="K186" s="29"/>
      <c r="L186" s="119">
        <v>0</v>
      </c>
      <c r="M186" s="34"/>
      <c r="N186" s="35"/>
      <c r="O186" s="34"/>
      <c r="P186" s="35">
        <v>0</v>
      </c>
      <c r="Q186" s="34">
        <v>0</v>
      </c>
      <c r="R186" s="35">
        <f>5161</f>
        <v>5161</v>
      </c>
      <c r="S186" s="34">
        <f>SUM(P186:R186)</f>
        <v>5161</v>
      </c>
      <c r="T186" s="34">
        <v>0</v>
      </c>
      <c r="U186" s="34">
        <v>0</v>
      </c>
      <c r="V186" s="26">
        <v>0</v>
      </c>
      <c r="W186" s="29">
        <f t="shared" si="103"/>
        <v>5161</v>
      </c>
      <c r="X186" s="119">
        <v>0</v>
      </c>
      <c r="Y186" s="34">
        <f t="shared" si="115"/>
        <v>-5161</v>
      </c>
      <c r="Z186" s="213">
        <f t="shared" si="116"/>
        <v>0</v>
      </c>
    </row>
    <row r="187" spans="1:27" ht="15" customHeight="1" x14ac:dyDescent="0.25">
      <c r="A187" s="32" t="s">
        <v>187</v>
      </c>
      <c r="B187" s="113"/>
      <c r="C187" s="34"/>
      <c r="D187" s="27"/>
      <c r="E187" s="26"/>
      <c r="F187" s="26"/>
      <c r="G187" s="26"/>
      <c r="H187" s="28"/>
      <c r="I187" s="26"/>
      <c r="J187" s="26"/>
      <c r="K187" s="29"/>
      <c r="L187" s="119">
        <v>0</v>
      </c>
      <c r="M187" s="34"/>
      <c r="N187" s="35"/>
      <c r="O187" s="34"/>
      <c r="P187" s="35">
        <v>0</v>
      </c>
      <c r="Q187" s="34">
        <v>0</v>
      </c>
      <c r="R187" s="35">
        <f>300</f>
        <v>300</v>
      </c>
      <c r="S187" s="34">
        <f>SUM(P187:R187)</f>
        <v>300</v>
      </c>
      <c r="T187" s="34">
        <v>0</v>
      </c>
      <c r="U187" s="34">
        <v>0</v>
      </c>
      <c r="V187" s="26">
        <v>0</v>
      </c>
      <c r="W187" s="29">
        <f t="shared" si="103"/>
        <v>300</v>
      </c>
      <c r="X187" s="119">
        <v>0</v>
      </c>
      <c r="Y187" s="34">
        <f t="shared" si="115"/>
        <v>-300</v>
      </c>
      <c r="Z187" s="213">
        <f t="shared" si="116"/>
        <v>0</v>
      </c>
    </row>
    <row r="188" spans="1:27" ht="15" customHeight="1" x14ac:dyDescent="0.25">
      <c r="A188" s="114" t="s">
        <v>188</v>
      </c>
      <c r="B188" s="113" t="s">
        <v>350</v>
      </c>
      <c r="C188" s="34">
        <v>9000</v>
      </c>
      <c r="D188" s="27">
        <v>0</v>
      </c>
      <c r="E188" s="26">
        <f t="shared" si="109"/>
        <v>9000</v>
      </c>
      <c r="F188" s="26">
        <v>0</v>
      </c>
      <c r="G188" s="26">
        <v>0</v>
      </c>
      <c r="H188" s="28">
        <f t="shared" si="110"/>
        <v>9000</v>
      </c>
      <c r="I188" s="26">
        <v>0</v>
      </c>
      <c r="J188" s="26">
        <v>0</v>
      </c>
      <c r="K188" s="29">
        <f t="shared" si="84"/>
        <v>9000</v>
      </c>
      <c r="L188" s="119">
        <v>6503</v>
      </c>
      <c r="M188" s="34">
        <f t="shared" si="111"/>
        <v>-2497</v>
      </c>
      <c r="N188" s="35">
        <f t="shared" si="112"/>
        <v>0.72255555555555551</v>
      </c>
      <c r="O188" s="34">
        <v>0</v>
      </c>
      <c r="P188" s="35">
        <f t="shared" si="113"/>
        <v>6503</v>
      </c>
      <c r="Q188" s="34">
        <v>0</v>
      </c>
      <c r="R188" s="35">
        <v>0</v>
      </c>
      <c r="S188" s="34">
        <f t="shared" si="114"/>
        <v>6503</v>
      </c>
      <c r="T188" s="34">
        <v>0</v>
      </c>
      <c r="U188" s="34">
        <v>0</v>
      </c>
      <c r="V188" s="26">
        <v>0</v>
      </c>
      <c r="W188" s="29">
        <f t="shared" si="103"/>
        <v>6503</v>
      </c>
      <c r="X188" s="119">
        <v>6620</v>
      </c>
      <c r="Y188" s="34">
        <f t="shared" si="115"/>
        <v>117</v>
      </c>
      <c r="Z188" s="213">
        <f t="shared" si="116"/>
        <v>1.0179916961402429</v>
      </c>
    </row>
    <row r="189" spans="1:27" ht="52.5" customHeight="1" x14ac:dyDescent="0.25">
      <c r="A189" s="32" t="s">
        <v>346</v>
      </c>
      <c r="B189" s="113" t="s">
        <v>350</v>
      </c>
      <c r="C189" s="34">
        <v>14000</v>
      </c>
      <c r="D189" s="27">
        <v>0</v>
      </c>
      <c r="E189" s="26">
        <f t="shared" si="109"/>
        <v>14000</v>
      </c>
      <c r="F189" s="26">
        <v>1630</v>
      </c>
      <c r="G189" s="26">
        <v>0</v>
      </c>
      <c r="H189" s="28">
        <f t="shared" si="110"/>
        <v>15630</v>
      </c>
      <c r="I189" s="26">
        <v>0</v>
      </c>
      <c r="J189" s="26">
        <v>0</v>
      </c>
      <c r="K189" s="29">
        <f t="shared" si="84"/>
        <v>15630</v>
      </c>
      <c r="L189" s="119">
        <v>21235</v>
      </c>
      <c r="M189" s="34">
        <f t="shared" si="111"/>
        <v>5605</v>
      </c>
      <c r="N189" s="35">
        <f t="shared" si="112"/>
        <v>1.3586052463211773</v>
      </c>
      <c r="O189" s="34">
        <v>0</v>
      </c>
      <c r="P189" s="35">
        <f t="shared" si="113"/>
        <v>21235</v>
      </c>
      <c r="Q189" s="34">
        <v>0</v>
      </c>
      <c r="R189" s="35">
        <v>0</v>
      </c>
      <c r="S189" s="34">
        <f t="shared" si="114"/>
        <v>21235</v>
      </c>
      <c r="T189" s="34">
        <v>0</v>
      </c>
      <c r="U189" s="34">
        <v>0</v>
      </c>
      <c r="V189" s="26">
        <v>0</v>
      </c>
      <c r="W189" s="29">
        <f t="shared" si="103"/>
        <v>21235</v>
      </c>
      <c r="X189" s="119">
        <v>18705</v>
      </c>
      <c r="Y189" s="34">
        <f t="shared" si="115"/>
        <v>-2530</v>
      </c>
      <c r="Z189" s="213">
        <f t="shared" si="116"/>
        <v>0.88085707558276427</v>
      </c>
    </row>
    <row r="190" spans="1:27" ht="15" customHeight="1" x14ac:dyDescent="0.25">
      <c r="A190" s="32" t="s">
        <v>189</v>
      </c>
      <c r="B190" s="113"/>
      <c r="C190" s="34"/>
      <c r="D190" s="27"/>
      <c r="E190" s="26"/>
      <c r="F190" s="26"/>
      <c r="G190" s="26"/>
      <c r="H190" s="28"/>
      <c r="I190" s="26"/>
      <c r="J190" s="26"/>
      <c r="K190" s="29"/>
      <c r="L190" s="119">
        <v>0</v>
      </c>
      <c r="M190" s="34"/>
      <c r="N190" s="35"/>
      <c r="O190" s="34"/>
      <c r="P190" s="35">
        <v>0</v>
      </c>
      <c r="Q190" s="34">
        <v>0</v>
      </c>
      <c r="R190" s="35">
        <f>26762</f>
        <v>26762</v>
      </c>
      <c r="S190" s="34">
        <f>SUM(P190:R190)</f>
        <v>26762</v>
      </c>
      <c r="T190" s="34">
        <v>0</v>
      </c>
      <c r="U190" s="34">
        <v>0</v>
      </c>
      <c r="V190" s="26">
        <v>0</v>
      </c>
      <c r="W190" s="29">
        <f t="shared" si="103"/>
        <v>26762</v>
      </c>
      <c r="X190" s="119">
        <v>0</v>
      </c>
      <c r="Y190" s="34">
        <f t="shared" si="115"/>
        <v>-26762</v>
      </c>
      <c r="Z190" s="213">
        <f t="shared" si="116"/>
        <v>0</v>
      </c>
    </row>
    <row r="191" spans="1:27" ht="54" customHeight="1" x14ac:dyDescent="0.25">
      <c r="A191" s="32" t="s">
        <v>345</v>
      </c>
      <c r="B191" s="113" t="s">
        <v>350</v>
      </c>
      <c r="C191" s="34">
        <v>13200</v>
      </c>
      <c r="D191" s="27">
        <v>0</v>
      </c>
      <c r="E191" s="26">
        <f t="shared" si="109"/>
        <v>13200</v>
      </c>
      <c r="F191" s="26">
        <v>610</v>
      </c>
      <c r="G191" s="26">
        <v>0</v>
      </c>
      <c r="H191" s="28">
        <f t="shared" si="110"/>
        <v>13810</v>
      </c>
      <c r="I191" s="26">
        <v>0</v>
      </c>
      <c r="J191" s="26">
        <v>0</v>
      </c>
      <c r="K191" s="29">
        <f t="shared" si="84"/>
        <v>13810</v>
      </c>
      <c r="L191" s="119">
        <v>15500</v>
      </c>
      <c r="M191" s="34">
        <f t="shared" si="111"/>
        <v>1690</v>
      </c>
      <c r="N191" s="35">
        <f t="shared" si="112"/>
        <v>1.1223750905141201</v>
      </c>
      <c r="O191" s="34">
        <v>0</v>
      </c>
      <c r="P191" s="35">
        <f t="shared" si="113"/>
        <v>15500</v>
      </c>
      <c r="Q191" s="34">
        <v>7500</v>
      </c>
      <c r="R191" s="35">
        <v>0</v>
      </c>
      <c r="S191" s="34">
        <f t="shared" si="114"/>
        <v>23000</v>
      </c>
      <c r="T191" s="34">
        <v>0</v>
      </c>
      <c r="U191" s="34">
        <v>0</v>
      </c>
      <c r="V191" s="26">
        <v>0</v>
      </c>
      <c r="W191" s="29">
        <f t="shared" si="103"/>
        <v>23000</v>
      </c>
      <c r="X191" s="119">
        <v>14028</v>
      </c>
      <c r="Y191" s="34">
        <f t="shared" si="115"/>
        <v>-8972</v>
      </c>
      <c r="Z191" s="213">
        <f t="shared" si="116"/>
        <v>0.60991304347826092</v>
      </c>
    </row>
    <row r="192" spans="1:27" ht="54" customHeight="1" x14ac:dyDescent="0.25">
      <c r="A192" s="32" t="s">
        <v>344</v>
      </c>
      <c r="B192" s="113" t="s">
        <v>350</v>
      </c>
      <c r="C192" s="34">
        <v>10180</v>
      </c>
      <c r="D192" s="27">
        <v>0</v>
      </c>
      <c r="E192" s="26">
        <f t="shared" si="109"/>
        <v>10180</v>
      </c>
      <c r="F192" s="26">
        <v>330</v>
      </c>
      <c r="G192" s="26">
        <v>0</v>
      </c>
      <c r="H192" s="28">
        <f t="shared" si="110"/>
        <v>10510</v>
      </c>
      <c r="I192" s="26">
        <v>0</v>
      </c>
      <c r="J192" s="26">
        <v>0</v>
      </c>
      <c r="K192" s="29">
        <f t="shared" si="84"/>
        <v>10510</v>
      </c>
      <c r="L192" s="119">
        <v>11530</v>
      </c>
      <c r="M192" s="34">
        <f t="shared" si="111"/>
        <v>1020</v>
      </c>
      <c r="N192" s="35">
        <f t="shared" si="112"/>
        <v>1.0970504281636537</v>
      </c>
      <c r="O192" s="34">
        <v>0</v>
      </c>
      <c r="P192" s="35">
        <f t="shared" si="113"/>
        <v>11530</v>
      </c>
      <c r="Q192" s="34">
        <v>0</v>
      </c>
      <c r="R192" s="35">
        <v>0</v>
      </c>
      <c r="S192" s="34">
        <f t="shared" si="114"/>
        <v>11530</v>
      </c>
      <c r="T192" s="34">
        <v>0</v>
      </c>
      <c r="U192" s="34">
        <v>0</v>
      </c>
      <c r="V192" s="26">
        <v>0</v>
      </c>
      <c r="W192" s="29">
        <f t="shared" si="103"/>
        <v>11530</v>
      </c>
      <c r="X192" s="119">
        <v>12000</v>
      </c>
      <c r="Y192" s="34">
        <f t="shared" si="115"/>
        <v>470</v>
      </c>
      <c r="Z192" s="213">
        <f t="shared" si="116"/>
        <v>1.0407632263660018</v>
      </c>
    </row>
    <row r="193" spans="1:26" ht="15" customHeight="1" x14ac:dyDescent="0.25">
      <c r="A193" s="32" t="s">
        <v>190</v>
      </c>
      <c r="B193" s="113"/>
      <c r="C193" s="34"/>
      <c r="D193" s="27"/>
      <c r="E193" s="26"/>
      <c r="F193" s="26"/>
      <c r="G193" s="26"/>
      <c r="H193" s="28"/>
      <c r="I193" s="26"/>
      <c r="J193" s="26"/>
      <c r="K193" s="29"/>
      <c r="L193" s="119">
        <v>0</v>
      </c>
      <c r="M193" s="34"/>
      <c r="N193" s="35"/>
      <c r="O193" s="34"/>
      <c r="P193" s="35">
        <v>0</v>
      </c>
      <c r="Q193" s="34">
        <v>0</v>
      </c>
      <c r="R193" s="35">
        <f>5644</f>
        <v>5644</v>
      </c>
      <c r="S193" s="34">
        <f>SUM(P193:R193)</f>
        <v>5644</v>
      </c>
      <c r="T193" s="34">
        <v>0</v>
      </c>
      <c r="U193" s="34">
        <v>0</v>
      </c>
      <c r="V193" s="26">
        <v>0</v>
      </c>
      <c r="W193" s="29">
        <f t="shared" si="103"/>
        <v>5644</v>
      </c>
      <c r="X193" s="119">
        <v>0</v>
      </c>
      <c r="Y193" s="34">
        <f t="shared" si="115"/>
        <v>-5644</v>
      </c>
      <c r="Z193" s="213">
        <f t="shared" si="116"/>
        <v>0</v>
      </c>
    </row>
    <row r="194" spans="1:26" ht="55.5" customHeight="1" x14ac:dyDescent="0.25">
      <c r="A194" s="32" t="s">
        <v>347</v>
      </c>
      <c r="B194" s="113" t="s">
        <v>350</v>
      </c>
      <c r="C194" s="34">
        <v>9900</v>
      </c>
      <c r="D194" s="27">
        <v>0</v>
      </c>
      <c r="E194" s="26">
        <f t="shared" si="109"/>
        <v>9900</v>
      </c>
      <c r="F194" s="26">
        <v>330</v>
      </c>
      <c r="G194" s="26">
        <v>0</v>
      </c>
      <c r="H194" s="28">
        <f t="shared" si="110"/>
        <v>10230</v>
      </c>
      <c r="I194" s="26">
        <v>0</v>
      </c>
      <c r="J194" s="26">
        <v>0</v>
      </c>
      <c r="K194" s="29">
        <f t="shared" si="84"/>
        <v>10230</v>
      </c>
      <c r="L194" s="119">
        <v>10600</v>
      </c>
      <c r="M194" s="34">
        <f t="shared" si="111"/>
        <v>370</v>
      </c>
      <c r="N194" s="35">
        <f t="shared" si="112"/>
        <v>1.0361681329423265</v>
      </c>
      <c r="O194" s="34">
        <v>0</v>
      </c>
      <c r="P194" s="35">
        <f t="shared" si="113"/>
        <v>10600</v>
      </c>
      <c r="Q194" s="34">
        <v>0</v>
      </c>
      <c r="R194" s="35">
        <v>0</v>
      </c>
      <c r="S194" s="34">
        <f t="shared" si="114"/>
        <v>10600</v>
      </c>
      <c r="T194" s="34">
        <v>0</v>
      </c>
      <c r="U194" s="34">
        <v>0</v>
      </c>
      <c r="V194" s="26">
        <v>0</v>
      </c>
      <c r="W194" s="29">
        <f t="shared" si="103"/>
        <v>10600</v>
      </c>
      <c r="X194" s="119">
        <v>11200</v>
      </c>
      <c r="Y194" s="34">
        <f t="shared" si="115"/>
        <v>600</v>
      </c>
      <c r="Z194" s="213">
        <f t="shared" si="116"/>
        <v>1.0566037735849056</v>
      </c>
    </row>
    <row r="195" spans="1:26" ht="17.25" customHeight="1" x14ac:dyDescent="0.25">
      <c r="A195" s="24" t="s">
        <v>191</v>
      </c>
      <c r="B195" s="118"/>
      <c r="C195" s="34"/>
      <c r="D195" s="27"/>
      <c r="E195" s="26"/>
      <c r="F195" s="26"/>
      <c r="G195" s="26"/>
      <c r="H195" s="28"/>
      <c r="I195" s="26"/>
      <c r="J195" s="26"/>
      <c r="K195" s="29"/>
      <c r="L195" s="119">
        <v>0</v>
      </c>
      <c r="M195" s="34"/>
      <c r="N195" s="35"/>
      <c r="O195" s="34"/>
      <c r="P195" s="35">
        <v>0</v>
      </c>
      <c r="Q195" s="34">
        <v>0</v>
      </c>
      <c r="R195" s="35">
        <f>6603</f>
        <v>6603</v>
      </c>
      <c r="S195" s="34">
        <f>SUM(P195:R195)</f>
        <v>6603</v>
      </c>
      <c r="T195" s="34">
        <v>0</v>
      </c>
      <c r="U195" s="34">
        <v>0</v>
      </c>
      <c r="V195" s="26">
        <v>0</v>
      </c>
      <c r="W195" s="29">
        <f t="shared" si="103"/>
        <v>6603</v>
      </c>
      <c r="X195" s="119">
        <v>0</v>
      </c>
      <c r="Y195" s="34">
        <f t="shared" si="115"/>
        <v>-6603</v>
      </c>
      <c r="Z195" s="213">
        <f t="shared" si="116"/>
        <v>0</v>
      </c>
    </row>
    <row r="196" spans="1:26" ht="27.75" customHeight="1" x14ac:dyDescent="0.25">
      <c r="A196" s="24" t="s">
        <v>192</v>
      </c>
      <c r="B196" s="118"/>
      <c r="C196" s="34">
        <v>4.29</v>
      </c>
      <c r="D196" s="27">
        <v>0</v>
      </c>
      <c r="E196" s="26">
        <f t="shared" si="109"/>
        <v>4.29</v>
      </c>
      <c r="F196" s="26">
        <v>0</v>
      </c>
      <c r="G196" s="26">
        <v>0</v>
      </c>
      <c r="H196" s="28">
        <f t="shared" si="110"/>
        <v>4.29</v>
      </c>
      <c r="I196" s="26">
        <v>0</v>
      </c>
      <c r="J196" s="26">
        <v>0</v>
      </c>
      <c r="K196" s="29">
        <f t="shared" si="84"/>
        <v>4.29</v>
      </c>
      <c r="L196" s="119">
        <v>4.29</v>
      </c>
      <c r="M196" s="34">
        <f t="shared" si="111"/>
        <v>0</v>
      </c>
      <c r="N196" s="35">
        <f t="shared" si="112"/>
        <v>1</v>
      </c>
      <c r="O196" s="34">
        <v>0</v>
      </c>
      <c r="P196" s="35">
        <f t="shared" si="113"/>
        <v>4.29</v>
      </c>
      <c r="Q196" s="34">
        <v>0</v>
      </c>
      <c r="R196" s="35">
        <v>0</v>
      </c>
      <c r="S196" s="34">
        <f t="shared" si="114"/>
        <v>4.29</v>
      </c>
      <c r="T196" s="34">
        <v>0</v>
      </c>
      <c r="U196" s="34">
        <v>0</v>
      </c>
      <c r="V196" s="26">
        <v>0</v>
      </c>
      <c r="W196" s="29">
        <f t="shared" si="103"/>
        <v>4.29</v>
      </c>
      <c r="X196" s="119">
        <v>4.5</v>
      </c>
      <c r="Y196" s="34">
        <f t="shared" si="115"/>
        <v>0.20999999999999996</v>
      </c>
      <c r="Z196" s="213">
        <f t="shared" si="116"/>
        <v>1.048951048951049</v>
      </c>
    </row>
    <row r="197" spans="1:26" ht="15" customHeight="1" x14ac:dyDescent="0.25">
      <c r="A197" s="24" t="s">
        <v>193</v>
      </c>
      <c r="B197" s="113" t="s">
        <v>356</v>
      </c>
      <c r="C197" s="34">
        <v>20</v>
      </c>
      <c r="D197" s="27">
        <v>0</v>
      </c>
      <c r="E197" s="26">
        <f t="shared" si="109"/>
        <v>20</v>
      </c>
      <c r="F197" s="26">
        <v>0</v>
      </c>
      <c r="G197" s="26">
        <v>0</v>
      </c>
      <c r="H197" s="28">
        <f t="shared" si="110"/>
        <v>20</v>
      </c>
      <c r="I197" s="26">
        <v>0</v>
      </c>
      <c r="J197" s="26">
        <v>0</v>
      </c>
      <c r="K197" s="29">
        <f t="shared" si="84"/>
        <v>20</v>
      </c>
      <c r="L197" s="119">
        <v>20</v>
      </c>
      <c r="M197" s="34">
        <f t="shared" si="111"/>
        <v>0</v>
      </c>
      <c r="N197" s="35">
        <f t="shared" si="112"/>
        <v>1</v>
      </c>
      <c r="O197" s="34">
        <v>0</v>
      </c>
      <c r="P197" s="35">
        <f t="shared" si="113"/>
        <v>20</v>
      </c>
      <c r="Q197" s="34">
        <v>0</v>
      </c>
      <c r="R197" s="35">
        <v>0</v>
      </c>
      <c r="S197" s="34">
        <f t="shared" si="114"/>
        <v>20</v>
      </c>
      <c r="T197" s="34">
        <v>0</v>
      </c>
      <c r="U197" s="34">
        <v>0</v>
      </c>
      <c r="V197" s="26">
        <v>0</v>
      </c>
      <c r="W197" s="29">
        <f t="shared" si="103"/>
        <v>20</v>
      </c>
      <c r="X197" s="119">
        <v>20</v>
      </c>
      <c r="Y197" s="34">
        <f t="shared" si="115"/>
        <v>0</v>
      </c>
      <c r="Z197" s="213">
        <f t="shared" si="116"/>
        <v>1</v>
      </c>
    </row>
    <row r="198" spans="1:26" ht="15" customHeight="1" x14ac:dyDescent="0.25">
      <c r="A198" s="24" t="s">
        <v>194</v>
      </c>
      <c r="B198" s="113" t="s">
        <v>356</v>
      </c>
      <c r="C198" s="34">
        <v>20</v>
      </c>
      <c r="D198" s="27">
        <v>0</v>
      </c>
      <c r="E198" s="26">
        <f t="shared" si="109"/>
        <v>20</v>
      </c>
      <c r="F198" s="26">
        <v>0</v>
      </c>
      <c r="G198" s="26">
        <v>0</v>
      </c>
      <c r="H198" s="28">
        <f t="shared" si="110"/>
        <v>20</v>
      </c>
      <c r="I198" s="26">
        <v>0</v>
      </c>
      <c r="J198" s="26">
        <v>0</v>
      </c>
      <c r="K198" s="29">
        <f t="shared" si="84"/>
        <v>20</v>
      </c>
      <c r="L198" s="119">
        <v>20</v>
      </c>
      <c r="M198" s="34">
        <f t="shared" si="111"/>
        <v>0</v>
      </c>
      <c r="N198" s="35">
        <f t="shared" si="112"/>
        <v>1</v>
      </c>
      <c r="O198" s="34">
        <v>0</v>
      </c>
      <c r="P198" s="35">
        <f t="shared" si="113"/>
        <v>20</v>
      </c>
      <c r="Q198" s="34">
        <v>0</v>
      </c>
      <c r="R198" s="35">
        <v>0</v>
      </c>
      <c r="S198" s="34">
        <f t="shared" si="114"/>
        <v>20</v>
      </c>
      <c r="T198" s="34">
        <v>0</v>
      </c>
      <c r="U198" s="34">
        <v>0</v>
      </c>
      <c r="V198" s="26">
        <v>0</v>
      </c>
      <c r="W198" s="29">
        <f t="shared" si="103"/>
        <v>20</v>
      </c>
      <c r="X198" s="119">
        <v>10</v>
      </c>
      <c r="Y198" s="34">
        <f t="shared" si="115"/>
        <v>-10</v>
      </c>
      <c r="Z198" s="213">
        <f t="shared" si="116"/>
        <v>0.5</v>
      </c>
    </row>
    <row r="199" spans="1:26" ht="15" customHeight="1" x14ac:dyDescent="0.25">
      <c r="A199" s="114" t="s">
        <v>195</v>
      </c>
      <c r="B199" s="113" t="s">
        <v>356</v>
      </c>
      <c r="C199" s="34">
        <v>70</v>
      </c>
      <c r="D199" s="27">
        <v>0</v>
      </c>
      <c r="E199" s="26">
        <f t="shared" si="109"/>
        <v>70</v>
      </c>
      <c r="F199" s="26">
        <v>0</v>
      </c>
      <c r="G199" s="26">
        <v>0</v>
      </c>
      <c r="H199" s="28">
        <f t="shared" si="110"/>
        <v>70</v>
      </c>
      <c r="I199" s="26">
        <v>0</v>
      </c>
      <c r="J199" s="26">
        <v>0</v>
      </c>
      <c r="K199" s="29">
        <f t="shared" si="84"/>
        <v>70</v>
      </c>
      <c r="L199" s="119">
        <v>100</v>
      </c>
      <c r="M199" s="34">
        <f t="shared" si="111"/>
        <v>30</v>
      </c>
      <c r="N199" s="35">
        <f t="shared" si="112"/>
        <v>1.4285714285714286</v>
      </c>
      <c r="O199" s="34">
        <v>0</v>
      </c>
      <c r="P199" s="35">
        <f t="shared" si="113"/>
        <v>100</v>
      </c>
      <c r="Q199" s="34">
        <v>0</v>
      </c>
      <c r="R199" s="35">
        <v>0</v>
      </c>
      <c r="S199" s="34">
        <f t="shared" si="114"/>
        <v>100</v>
      </c>
      <c r="T199" s="34">
        <v>0</v>
      </c>
      <c r="U199" s="34">
        <v>0</v>
      </c>
      <c r="V199" s="26">
        <v>0</v>
      </c>
      <c r="W199" s="29">
        <f t="shared" si="103"/>
        <v>100</v>
      </c>
      <c r="X199" s="119">
        <v>70</v>
      </c>
      <c r="Y199" s="34">
        <f t="shared" si="115"/>
        <v>-30</v>
      </c>
      <c r="Z199" s="213">
        <f t="shared" si="116"/>
        <v>0.7</v>
      </c>
    </row>
    <row r="200" spans="1:26" ht="15" customHeight="1" x14ac:dyDescent="0.25">
      <c r="A200" s="114" t="s">
        <v>196</v>
      </c>
      <c r="B200" s="113" t="s">
        <v>350</v>
      </c>
      <c r="C200" s="34">
        <v>0</v>
      </c>
      <c r="D200" s="27"/>
      <c r="E200" s="26"/>
      <c r="F200" s="26"/>
      <c r="G200" s="26"/>
      <c r="H200" s="28"/>
      <c r="I200" s="26"/>
      <c r="J200" s="26"/>
      <c r="K200" s="29">
        <v>0</v>
      </c>
      <c r="L200" s="119">
        <v>1050</v>
      </c>
      <c r="M200" s="34">
        <f>L200-K200</f>
        <v>1050</v>
      </c>
      <c r="N200" s="92" t="s">
        <v>39</v>
      </c>
      <c r="O200" s="57">
        <v>0</v>
      </c>
      <c r="P200" s="35">
        <f t="shared" si="113"/>
        <v>1050</v>
      </c>
      <c r="Q200" s="57">
        <v>0</v>
      </c>
      <c r="R200" s="92">
        <v>0</v>
      </c>
      <c r="S200" s="34">
        <f t="shared" si="114"/>
        <v>1050</v>
      </c>
      <c r="T200" s="34">
        <v>0</v>
      </c>
      <c r="U200" s="34">
        <v>0</v>
      </c>
      <c r="V200" s="26">
        <v>0</v>
      </c>
      <c r="W200" s="29">
        <f t="shared" si="103"/>
        <v>1050</v>
      </c>
      <c r="X200" s="119">
        <v>1050</v>
      </c>
      <c r="Y200" s="34">
        <f t="shared" si="115"/>
        <v>0</v>
      </c>
      <c r="Z200" s="213">
        <f t="shared" si="116"/>
        <v>1</v>
      </c>
    </row>
    <row r="201" spans="1:26" ht="15" customHeight="1" x14ac:dyDescent="0.25">
      <c r="A201" s="114" t="s">
        <v>197</v>
      </c>
      <c r="B201" s="113" t="s">
        <v>350</v>
      </c>
      <c r="C201" s="34">
        <v>3700</v>
      </c>
      <c r="D201" s="27">
        <v>0</v>
      </c>
      <c r="E201" s="26">
        <f t="shared" si="109"/>
        <v>3700</v>
      </c>
      <c r="F201" s="26">
        <v>0</v>
      </c>
      <c r="G201" s="26">
        <v>0</v>
      </c>
      <c r="H201" s="28">
        <f t="shared" si="110"/>
        <v>3700</v>
      </c>
      <c r="I201" s="26">
        <v>0</v>
      </c>
      <c r="J201" s="26">
        <v>0</v>
      </c>
      <c r="K201" s="29">
        <f t="shared" si="84"/>
        <v>3700</v>
      </c>
      <c r="L201" s="119">
        <v>3850</v>
      </c>
      <c r="M201" s="34">
        <f t="shared" si="111"/>
        <v>150</v>
      </c>
      <c r="N201" s="35">
        <f t="shared" si="112"/>
        <v>1.0405405405405406</v>
      </c>
      <c r="O201" s="34">
        <v>0</v>
      </c>
      <c r="P201" s="35">
        <f t="shared" si="113"/>
        <v>3850</v>
      </c>
      <c r="Q201" s="34">
        <v>0</v>
      </c>
      <c r="R201" s="35">
        <v>0</v>
      </c>
      <c r="S201" s="34">
        <f t="shared" si="114"/>
        <v>3850</v>
      </c>
      <c r="T201" s="34">
        <v>0</v>
      </c>
      <c r="U201" s="34">
        <v>0</v>
      </c>
      <c r="V201" s="26">
        <v>0</v>
      </c>
      <c r="W201" s="29">
        <f t="shared" si="103"/>
        <v>3850</v>
      </c>
      <c r="X201" s="119">
        <v>4000</v>
      </c>
      <c r="Y201" s="34">
        <f t="shared" si="115"/>
        <v>150</v>
      </c>
      <c r="Z201" s="213">
        <f t="shared" si="116"/>
        <v>1.0389610389610389</v>
      </c>
    </row>
    <row r="202" spans="1:26" ht="15" customHeight="1" x14ac:dyDescent="0.25">
      <c r="A202" s="114" t="s">
        <v>198</v>
      </c>
      <c r="B202" s="113" t="s">
        <v>356</v>
      </c>
      <c r="C202" s="34">
        <v>80</v>
      </c>
      <c r="D202" s="27">
        <v>0</v>
      </c>
      <c r="E202" s="26">
        <f t="shared" si="109"/>
        <v>80</v>
      </c>
      <c r="F202" s="26">
        <v>0</v>
      </c>
      <c r="G202" s="26">
        <v>0</v>
      </c>
      <c r="H202" s="28">
        <f t="shared" si="110"/>
        <v>80</v>
      </c>
      <c r="I202" s="26">
        <v>0</v>
      </c>
      <c r="J202" s="26">
        <v>0</v>
      </c>
      <c r="K202" s="29">
        <f t="shared" si="84"/>
        <v>80</v>
      </c>
      <c r="L202" s="119">
        <v>80</v>
      </c>
      <c r="M202" s="34">
        <f t="shared" si="111"/>
        <v>0</v>
      </c>
      <c r="N202" s="35">
        <f t="shared" si="112"/>
        <v>1</v>
      </c>
      <c r="O202" s="34">
        <v>0</v>
      </c>
      <c r="P202" s="35">
        <f t="shared" si="113"/>
        <v>80</v>
      </c>
      <c r="Q202" s="34">
        <v>0</v>
      </c>
      <c r="R202" s="35">
        <v>0</v>
      </c>
      <c r="S202" s="34">
        <f t="shared" si="114"/>
        <v>80</v>
      </c>
      <c r="T202" s="34">
        <v>0</v>
      </c>
      <c r="U202" s="34">
        <v>0</v>
      </c>
      <c r="V202" s="26">
        <v>0</v>
      </c>
      <c r="W202" s="29">
        <f t="shared" si="103"/>
        <v>80</v>
      </c>
      <c r="X202" s="119">
        <v>80</v>
      </c>
      <c r="Y202" s="34">
        <f t="shared" si="115"/>
        <v>0</v>
      </c>
      <c r="Z202" s="213">
        <f t="shared" si="116"/>
        <v>1</v>
      </c>
    </row>
    <row r="203" spans="1:26" ht="15" customHeight="1" x14ac:dyDescent="0.25">
      <c r="A203" s="114" t="s">
        <v>199</v>
      </c>
      <c r="B203" s="113" t="s">
        <v>350</v>
      </c>
      <c r="C203" s="34">
        <v>50</v>
      </c>
      <c r="D203" s="27">
        <v>0</v>
      </c>
      <c r="E203" s="26">
        <f t="shared" si="109"/>
        <v>50</v>
      </c>
      <c r="F203" s="26">
        <v>0</v>
      </c>
      <c r="G203" s="26">
        <v>0</v>
      </c>
      <c r="H203" s="28">
        <f t="shared" si="110"/>
        <v>50</v>
      </c>
      <c r="I203" s="26">
        <v>0</v>
      </c>
      <c r="J203" s="26">
        <v>0</v>
      </c>
      <c r="K203" s="29">
        <f t="shared" si="84"/>
        <v>50</v>
      </c>
      <c r="L203" s="119">
        <v>50</v>
      </c>
      <c r="M203" s="34">
        <f t="shared" si="111"/>
        <v>0</v>
      </c>
      <c r="N203" s="35">
        <f t="shared" si="112"/>
        <v>1</v>
      </c>
      <c r="O203" s="34">
        <v>0</v>
      </c>
      <c r="P203" s="35">
        <f t="shared" si="113"/>
        <v>50</v>
      </c>
      <c r="Q203" s="34">
        <v>0</v>
      </c>
      <c r="R203" s="35">
        <v>0</v>
      </c>
      <c r="S203" s="34">
        <f t="shared" si="114"/>
        <v>50</v>
      </c>
      <c r="T203" s="34">
        <v>0</v>
      </c>
      <c r="U203" s="34">
        <v>0</v>
      </c>
      <c r="V203" s="26">
        <v>0</v>
      </c>
      <c r="W203" s="29">
        <f t="shared" si="103"/>
        <v>50</v>
      </c>
      <c r="X203" s="119">
        <v>50</v>
      </c>
      <c r="Y203" s="34">
        <f t="shared" si="115"/>
        <v>0</v>
      </c>
      <c r="Z203" s="213">
        <f t="shared" si="116"/>
        <v>1</v>
      </c>
    </row>
    <row r="204" spans="1:26" ht="15" customHeight="1" x14ac:dyDescent="0.25">
      <c r="A204" s="114" t="s">
        <v>200</v>
      </c>
      <c r="B204" s="113" t="s">
        <v>350</v>
      </c>
      <c r="C204" s="34">
        <v>80</v>
      </c>
      <c r="D204" s="27">
        <v>0</v>
      </c>
      <c r="E204" s="26">
        <f t="shared" si="109"/>
        <v>80</v>
      </c>
      <c r="F204" s="26">
        <v>0</v>
      </c>
      <c r="G204" s="26">
        <v>0</v>
      </c>
      <c r="H204" s="28">
        <f t="shared" si="110"/>
        <v>80</v>
      </c>
      <c r="I204" s="26">
        <v>0</v>
      </c>
      <c r="J204" s="26">
        <v>0</v>
      </c>
      <c r="K204" s="29">
        <f t="shared" si="84"/>
        <v>80</v>
      </c>
      <c r="L204" s="119">
        <v>100</v>
      </c>
      <c r="M204" s="34">
        <f t="shared" si="111"/>
        <v>20</v>
      </c>
      <c r="N204" s="35">
        <f t="shared" si="112"/>
        <v>1.25</v>
      </c>
      <c r="O204" s="34">
        <v>0</v>
      </c>
      <c r="P204" s="35">
        <f t="shared" si="113"/>
        <v>100</v>
      </c>
      <c r="Q204" s="34">
        <v>0</v>
      </c>
      <c r="R204" s="35">
        <v>0</v>
      </c>
      <c r="S204" s="34">
        <f t="shared" si="114"/>
        <v>100</v>
      </c>
      <c r="T204" s="34">
        <v>0</v>
      </c>
      <c r="U204" s="34">
        <v>0</v>
      </c>
      <c r="V204" s="26">
        <v>0</v>
      </c>
      <c r="W204" s="29">
        <f t="shared" si="103"/>
        <v>100</v>
      </c>
      <c r="X204" s="119">
        <v>100</v>
      </c>
      <c r="Y204" s="34">
        <f t="shared" si="115"/>
        <v>0</v>
      </c>
      <c r="Z204" s="213">
        <f t="shared" si="116"/>
        <v>1</v>
      </c>
    </row>
    <row r="205" spans="1:26" ht="15" customHeight="1" x14ac:dyDescent="0.25">
      <c r="A205" s="114" t="s">
        <v>201</v>
      </c>
      <c r="B205" s="113" t="s">
        <v>350</v>
      </c>
      <c r="C205" s="34">
        <v>550</v>
      </c>
      <c r="D205" s="27">
        <v>0</v>
      </c>
      <c r="E205" s="26">
        <f t="shared" si="109"/>
        <v>550</v>
      </c>
      <c r="F205" s="26">
        <v>0</v>
      </c>
      <c r="G205" s="26">
        <v>0</v>
      </c>
      <c r="H205" s="28">
        <f t="shared" si="110"/>
        <v>550</v>
      </c>
      <c r="I205" s="26">
        <v>0</v>
      </c>
      <c r="J205" s="26">
        <v>0</v>
      </c>
      <c r="K205" s="29">
        <f t="shared" si="84"/>
        <v>550</v>
      </c>
      <c r="L205" s="119">
        <v>610</v>
      </c>
      <c r="M205" s="34">
        <f t="shared" si="111"/>
        <v>60</v>
      </c>
      <c r="N205" s="35">
        <f t="shared" si="112"/>
        <v>1.1090909090909091</v>
      </c>
      <c r="O205" s="34">
        <v>0</v>
      </c>
      <c r="P205" s="35">
        <f t="shared" si="113"/>
        <v>610</v>
      </c>
      <c r="Q205" s="34">
        <v>0</v>
      </c>
      <c r="R205" s="35">
        <v>0</v>
      </c>
      <c r="S205" s="34">
        <f t="shared" si="114"/>
        <v>610</v>
      </c>
      <c r="T205" s="34">
        <v>0</v>
      </c>
      <c r="U205" s="34">
        <v>0</v>
      </c>
      <c r="V205" s="26">
        <v>0</v>
      </c>
      <c r="W205" s="29">
        <f t="shared" si="103"/>
        <v>610</v>
      </c>
      <c r="X205" s="119">
        <v>650</v>
      </c>
      <c r="Y205" s="34">
        <f t="shared" si="115"/>
        <v>40</v>
      </c>
      <c r="Z205" s="213">
        <f t="shared" si="116"/>
        <v>1.0655737704918034</v>
      </c>
    </row>
    <row r="206" spans="1:26" ht="15" customHeight="1" x14ac:dyDescent="0.25">
      <c r="A206" s="114" t="s">
        <v>202</v>
      </c>
      <c r="B206" s="113"/>
      <c r="C206" s="34"/>
      <c r="D206" s="27"/>
      <c r="E206" s="26"/>
      <c r="F206" s="26"/>
      <c r="G206" s="26"/>
      <c r="H206" s="28"/>
      <c r="I206" s="26"/>
      <c r="J206" s="26"/>
      <c r="K206" s="29"/>
      <c r="L206" s="119">
        <v>0</v>
      </c>
      <c r="M206" s="34"/>
      <c r="N206" s="35"/>
      <c r="O206" s="34"/>
      <c r="P206" s="35">
        <v>0</v>
      </c>
      <c r="Q206" s="34">
        <v>0</v>
      </c>
      <c r="R206" s="35">
        <f>10</f>
        <v>10</v>
      </c>
      <c r="S206" s="34">
        <f>SUM(P206:R206)</f>
        <v>10</v>
      </c>
      <c r="T206" s="34">
        <v>0</v>
      </c>
      <c r="U206" s="34">
        <v>0</v>
      </c>
      <c r="V206" s="26">
        <v>0</v>
      </c>
      <c r="W206" s="29">
        <f t="shared" si="103"/>
        <v>10</v>
      </c>
      <c r="X206" s="119">
        <v>0</v>
      </c>
      <c r="Y206" s="34">
        <f t="shared" si="115"/>
        <v>-10</v>
      </c>
      <c r="Z206" s="213">
        <f t="shared" si="116"/>
        <v>0</v>
      </c>
    </row>
    <row r="207" spans="1:26" ht="15" customHeight="1" x14ac:dyDescent="0.25">
      <c r="A207" s="120" t="s">
        <v>203</v>
      </c>
      <c r="B207" s="113" t="s">
        <v>356</v>
      </c>
      <c r="C207" s="34">
        <v>30</v>
      </c>
      <c r="D207" s="27">
        <v>0</v>
      </c>
      <c r="E207" s="26">
        <f t="shared" si="109"/>
        <v>30</v>
      </c>
      <c r="F207" s="26">
        <v>17.5</v>
      </c>
      <c r="G207" s="26">
        <f>-17.5</f>
        <v>-17.5</v>
      </c>
      <c r="H207" s="28">
        <f t="shared" si="110"/>
        <v>30</v>
      </c>
      <c r="I207" s="26">
        <v>0</v>
      </c>
      <c r="J207" s="26">
        <v>0</v>
      </c>
      <c r="K207" s="29">
        <f t="shared" si="84"/>
        <v>30</v>
      </c>
      <c r="L207" s="119">
        <v>50</v>
      </c>
      <c r="M207" s="34">
        <f t="shared" si="111"/>
        <v>20</v>
      </c>
      <c r="N207" s="35">
        <f t="shared" si="112"/>
        <v>1.6666666666666667</v>
      </c>
      <c r="O207" s="34">
        <v>0</v>
      </c>
      <c r="P207" s="35">
        <f t="shared" si="113"/>
        <v>50</v>
      </c>
      <c r="Q207" s="34">
        <v>0</v>
      </c>
      <c r="R207" s="35">
        <v>0</v>
      </c>
      <c r="S207" s="34">
        <f t="shared" si="114"/>
        <v>50</v>
      </c>
      <c r="T207" s="34">
        <v>0</v>
      </c>
      <c r="U207" s="34">
        <v>0</v>
      </c>
      <c r="V207" s="26">
        <v>0</v>
      </c>
      <c r="W207" s="29">
        <f t="shared" si="103"/>
        <v>50</v>
      </c>
      <c r="X207" s="119">
        <v>40</v>
      </c>
      <c r="Y207" s="34">
        <f t="shared" si="115"/>
        <v>-10</v>
      </c>
      <c r="Z207" s="213">
        <f t="shared" si="116"/>
        <v>0.8</v>
      </c>
    </row>
    <row r="208" spans="1:26" ht="15" customHeight="1" x14ac:dyDescent="0.25">
      <c r="A208" s="32" t="s">
        <v>204</v>
      </c>
      <c r="B208" s="113" t="s">
        <v>356</v>
      </c>
      <c r="C208" s="34">
        <v>20</v>
      </c>
      <c r="D208" s="27">
        <v>0</v>
      </c>
      <c r="E208" s="26">
        <f>SUM(C208:D208)</f>
        <v>20</v>
      </c>
      <c r="F208" s="26">
        <v>0</v>
      </c>
      <c r="G208" s="26">
        <v>0</v>
      </c>
      <c r="H208" s="28">
        <f t="shared" si="110"/>
        <v>20</v>
      </c>
      <c r="I208" s="26">
        <v>0</v>
      </c>
      <c r="J208" s="26">
        <v>0</v>
      </c>
      <c r="K208" s="29">
        <f t="shared" si="84"/>
        <v>20</v>
      </c>
      <c r="L208" s="119">
        <v>20</v>
      </c>
      <c r="M208" s="34">
        <f t="shared" si="111"/>
        <v>0</v>
      </c>
      <c r="N208" s="35">
        <f t="shared" si="112"/>
        <v>1</v>
      </c>
      <c r="O208" s="34">
        <v>0</v>
      </c>
      <c r="P208" s="35">
        <f t="shared" si="113"/>
        <v>20</v>
      </c>
      <c r="Q208" s="34">
        <v>0</v>
      </c>
      <c r="R208" s="35">
        <v>0</v>
      </c>
      <c r="S208" s="34">
        <f t="shared" si="114"/>
        <v>20</v>
      </c>
      <c r="T208" s="34">
        <v>0</v>
      </c>
      <c r="U208" s="34">
        <v>0</v>
      </c>
      <c r="V208" s="26">
        <v>0</v>
      </c>
      <c r="W208" s="29">
        <f t="shared" si="103"/>
        <v>20</v>
      </c>
      <c r="X208" s="119">
        <v>20</v>
      </c>
      <c r="Y208" s="34">
        <f t="shared" si="115"/>
        <v>0</v>
      </c>
      <c r="Z208" s="213">
        <f t="shared" si="116"/>
        <v>1</v>
      </c>
    </row>
    <row r="209" spans="1:26" ht="51" customHeight="1" x14ac:dyDescent="0.25">
      <c r="A209" s="120" t="s">
        <v>205</v>
      </c>
      <c r="B209" s="113" t="s">
        <v>353</v>
      </c>
      <c r="C209" s="34">
        <v>228</v>
      </c>
      <c r="D209" s="27">
        <v>0</v>
      </c>
      <c r="E209" s="26">
        <f t="shared" si="109"/>
        <v>228</v>
      </c>
      <c r="F209" s="26">
        <v>0</v>
      </c>
      <c r="G209" s="26">
        <v>0</v>
      </c>
      <c r="H209" s="28">
        <f t="shared" si="110"/>
        <v>228</v>
      </c>
      <c r="I209" s="26">
        <v>0</v>
      </c>
      <c r="J209" s="26">
        <v>0</v>
      </c>
      <c r="K209" s="29">
        <f t="shared" si="84"/>
        <v>228</v>
      </c>
      <c r="L209" s="119">
        <v>267</v>
      </c>
      <c r="M209" s="34">
        <f t="shared" si="111"/>
        <v>39</v>
      </c>
      <c r="N209" s="35">
        <f t="shared" si="112"/>
        <v>1.1710526315789473</v>
      </c>
      <c r="O209" s="34">
        <v>0</v>
      </c>
      <c r="P209" s="35">
        <f t="shared" si="113"/>
        <v>267</v>
      </c>
      <c r="Q209" s="34">
        <v>0</v>
      </c>
      <c r="R209" s="35">
        <v>0</v>
      </c>
      <c r="S209" s="34">
        <f t="shared" si="114"/>
        <v>267</v>
      </c>
      <c r="T209" s="34">
        <v>0</v>
      </c>
      <c r="U209" s="34">
        <v>0</v>
      </c>
      <c r="V209" s="26">
        <v>0</v>
      </c>
      <c r="W209" s="29">
        <f t="shared" si="103"/>
        <v>267</v>
      </c>
      <c r="X209" s="119">
        <v>22</v>
      </c>
      <c r="Y209" s="34">
        <f t="shared" si="115"/>
        <v>-245</v>
      </c>
      <c r="Z209" s="213">
        <f t="shared" si="116"/>
        <v>8.2397003745318345E-2</v>
      </c>
    </row>
    <row r="210" spans="1:26" ht="15" customHeight="1" x14ac:dyDescent="0.25">
      <c r="A210" s="120" t="s">
        <v>206</v>
      </c>
      <c r="B210" s="113" t="s">
        <v>356</v>
      </c>
      <c r="C210" s="34">
        <v>0</v>
      </c>
      <c r="D210" s="27"/>
      <c r="E210" s="26">
        <v>0</v>
      </c>
      <c r="F210" s="26">
        <v>50</v>
      </c>
      <c r="G210" s="26">
        <v>0</v>
      </c>
      <c r="H210" s="28">
        <f t="shared" si="110"/>
        <v>50</v>
      </c>
      <c r="I210" s="26">
        <v>0</v>
      </c>
      <c r="J210" s="26">
        <v>0</v>
      </c>
      <c r="K210" s="29">
        <f t="shared" ref="K210:K284" si="117">SUM(H210:J210)</f>
        <v>50</v>
      </c>
      <c r="L210" s="119">
        <v>30</v>
      </c>
      <c r="M210" s="34">
        <f t="shared" si="111"/>
        <v>-20</v>
      </c>
      <c r="N210" s="35">
        <f t="shared" si="112"/>
        <v>0.6</v>
      </c>
      <c r="O210" s="34">
        <v>0</v>
      </c>
      <c r="P210" s="35">
        <f t="shared" si="113"/>
        <v>30</v>
      </c>
      <c r="Q210" s="34">
        <v>0</v>
      </c>
      <c r="R210" s="35">
        <v>0</v>
      </c>
      <c r="S210" s="34">
        <f t="shared" si="114"/>
        <v>30</v>
      </c>
      <c r="T210" s="34">
        <v>0</v>
      </c>
      <c r="U210" s="34">
        <v>0</v>
      </c>
      <c r="V210" s="26">
        <v>0</v>
      </c>
      <c r="W210" s="29">
        <f t="shared" si="103"/>
        <v>30</v>
      </c>
      <c r="X210" s="119">
        <v>10</v>
      </c>
      <c r="Y210" s="34">
        <f t="shared" si="115"/>
        <v>-20</v>
      </c>
      <c r="Z210" s="213">
        <f t="shared" si="116"/>
        <v>0.33333333333333331</v>
      </c>
    </row>
    <row r="211" spans="1:26" ht="15" customHeight="1" x14ac:dyDescent="0.25">
      <c r="A211" s="120" t="s">
        <v>207</v>
      </c>
      <c r="B211" s="113" t="s">
        <v>350</v>
      </c>
      <c r="C211" s="34"/>
      <c r="D211" s="27"/>
      <c r="E211" s="26"/>
      <c r="F211" s="26"/>
      <c r="G211" s="26"/>
      <c r="H211" s="28"/>
      <c r="I211" s="26"/>
      <c r="J211" s="26"/>
      <c r="K211" s="29"/>
      <c r="L211" s="119">
        <v>0</v>
      </c>
      <c r="M211" s="34"/>
      <c r="N211" s="35"/>
      <c r="O211" s="34">
        <f>50</f>
        <v>50</v>
      </c>
      <c r="P211" s="35">
        <f>SUM(L211:O211)</f>
        <v>50</v>
      </c>
      <c r="Q211" s="34">
        <v>0</v>
      </c>
      <c r="R211" s="35">
        <v>0</v>
      </c>
      <c r="S211" s="34">
        <f t="shared" si="114"/>
        <v>50</v>
      </c>
      <c r="T211" s="34">
        <v>0</v>
      </c>
      <c r="U211" s="34">
        <v>0</v>
      </c>
      <c r="V211" s="26">
        <v>0</v>
      </c>
      <c r="W211" s="29">
        <f t="shared" si="103"/>
        <v>50</v>
      </c>
      <c r="X211" s="119">
        <v>50</v>
      </c>
      <c r="Y211" s="34">
        <f t="shared" si="115"/>
        <v>0</v>
      </c>
      <c r="Z211" s="213">
        <f t="shared" si="116"/>
        <v>1</v>
      </c>
    </row>
    <row r="212" spans="1:26" ht="18" customHeight="1" x14ac:dyDescent="0.25">
      <c r="A212" s="120" t="s">
        <v>208</v>
      </c>
      <c r="B212" s="113"/>
      <c r="C212" s="34"/>
      <c r="D212" s="27"/>
      <c r="E212" s="26"/>
      <c r="F212" s="26"/>
      <c r="G212" s="26"/>
      <c r="H212" s="28"/>
      <c r="I212" s="26"/>
      <c r="J212" s="26"/>
      <c r="K212" s="29"/>
      <c r="L212" s="119">
        <v>0</v>
      </c>
      <c r="M212" s="34"/>
      <c r="N212" s="35"/>
      <c r="O212" s="34"/>
      <c r="P212" s="35">
        <v>0</v>
      </c>
      <c r="Q212" s="34">
        <v>0</v>
      </c>
      <c r="R212" s="35">
        <f>5</f>
        <v>5</v>
      </c>
      <c r="S212" s="34">
        <f>SUM(P212:R212)</f>
        <v>5</v>
      </c>
      <c r="T212" s="34">
        <v>0</v>
      </c>
      <c r="U212" s="34">
        <v>0</v>
      </c>
      <c r="V212" s="26">
        <v>0</v>
      </c>
      <c r="W212" s="29">
        <f t="shared" si="103"/>
        <v>5</v>
      </c>
      <c r="X212" s="119">
        <v>0</v>
      </c>
      <c r="Y212" s="34">
        <f t="shared" si="115"/>
        <v>-5</v>
      </c>
      <c r="Z212" s="213">
        <f t="shared" si="116"/>
        <v>0</v>
      </c>
    </row>
    <row r="213" spans="1:26" ht="15" customHeight="1" x14ac:dyDescent="0.25">
      <c r="A213" s="120" t="s">
        <v>209</v>
      </c>
      <c r="B213" s="113"/>
      <c r="C213" s="34"/>
      <c r="D213" s="27"/>
      <c r="E213" s="26"/>
      <c r="F213" s="26"/>
      <c r="G213" s="26"/>
      <c r="H213" s="28"/>
      <c r="I213" s="26"/>
      <c r="J213" s="26"/>
      <c r="K213" s="29"/>
      <c r="L213" s="119">
        <v>0</v>
      </c>
      <c r="M213" s="34"/>
      <c r="N213" s="35"/>
      <c r="O213" s="34"/>
      <c r="P213" s="35">
        <v>0</v>
      </c>
      <c r="Q213" s="34">
        <v>0</v>
      </c>
      <c r="R213" s="35">
        <f>4</f>
        <v>4</v>
      </c>
      <c r="S213" s="34">
        <f>SUM(P213:R213)</f>
        <v>4</v>
      </c>
      <c r="T213" s="34">
        <v>0</v>
      </c>
      <c r="U213" s="34">
        <v>0</v>
      </c>
      <c r="V213" s="26">
        <v>0</v>
      </c>
      <c r="W213" s="29">
        <f t="shared" si="103"/>
        <v>4</v>
      </c>
      <c r="X213" s="119">
        <v>0</v>
      </c>
      <c r="Y213" s="34">
        <f t="shared" si="115"/>
        <v>-4</v>
      </c>
      <c r="Z213" s="213">
        <f t="shared" si="116"/>
        <v>0</v>
      </c>
    </row>
    <row r="214" spans="1:26" ht="18" customHeight="1" x14ac:dyDescent="0.25">
      <c r="A214" s="32" t="s">
        <v>210</v>
      </c>
      <c r="B214" s="113" t="s">
        <v>350</v>
      </c>
      <c r="C214" s="34">
        <v>668</v>
      </c>
      <c r="D214" s="27">
        <v>0</v>
      </c>
      <c r="E214" s="26">
        <f t="shared" si="109"/>
        <v>668</v>
      </c>
      <c r="F214" s="26">
        <v>0</v>
      </c>
      <c r="G214" s="26">
        <v>0</v>
      </c>
      <c r="H214" s="28">
        <f t="shared" si="110"/>
        <v>668</v>
      </c>
      <c r="I214" s="26">
        <v>0</v>
      </c>
      <c r="J214" s="26">
        <v>0</v>
      </c>
      <c r="K214" s="29">
        <f t="shared" si="117"/>
        <v>668</v>
      </c>
      <c r="L214" s="119">
        <v>668</v>
      </c>
      <c r="M214" s="34">
        <f t="shared" si="111"/>
        <v>0</v>
      </c>
      <c r="N214" s="35">
        <f t="shared" si="112"/>
        <v>1</v>
      </c>
      <c r="O214" s="34">
        <v>0</v>
      </c>
      <c r="P214" s="35">
        <f t="shared" si="113"/>
        <v>668</v>
      </c>
      <c r="Q214" s="34">
        <v>0</v>
      </c>
      <c r="R214" s="35">
        <v>0</v>
      </c>
      <c r="S214" s="34">
        <f t="shared" si="114"/>
        <v>668</v>
      </c>
      <c r="T214" s="34">
        <v>0</v>
      </c>
      <c r="U214" s="34">
        <v>0</v>
      </c>
      <c r="V214" s="26">
        <v>0</v>
      </c>
      <c r="W214" s="29">
        <f t="shared" si="103"/>
        <v>668</v>
      </c>
      <c r="X214" s="119">
        <v>668</v>
      </c>
      <c r="Y214" s="34">
        <f t="shared" si="115"/>
        <v>0</v>
      </c>
      <c r="Z214" s="213">
        <f t="shared" si="116"/>
        <v>1</v>
      </c>
    </row>
    <row r="215" spans="1:26" ht="15" customHeight="1" x14ac:dyDescent="0.25">
      <c r="A215" s="32" t="s">
        <v>211</v>
      </c>
      <c r="B215" s="113" t="s">
        <v>350</v>
      </c>
      <c r="C215" s="34">
        <v>526</v>
      </c>
      <c r="D215" s="27">
        <v>0</v>
      </c>
      <c r="E215" s="26">
        <f t="shared" si="109"/>
        <v>526</v>
      </c>
      <c r="F215" s="26">
        <v>0</v>
      </c>
      <c r="G215" s="26">
        <v>0</v>
      </c>
      <c r="H215" s="28">
        <f t="shared" si="110"/>
        <v>526</v>
      </c>
      <c r="I215" s="26">
        <v>0</v>
      </c>
      <c r="J215" s="26">
        <v>0</v>
      </c>
      <c r="K215" s="29">
        <f t="shared" si="117"/>
        <v>526</v>
      </c>
      <c r="L215" s="119">
        <v>526</v>
      </c>
      <c r="M215" s="34">
        <f t="shared" si="111"/>
        <v>0</v>
      </c>
      <c r="N215" s="35">
        <f t="shared" si="112"/>
        <v>1</v>
      </c>
      <c r="O215" s="34">
        <v>0</v>
      </c>
      <c r="P215" s="35">
        <f t="shared" si="113"/>
        <v>526</v>
      </c>
      <c r="Q215" s="34">
        <v>0</v>
      </c>
      <c r="R215" s="35">
        <v>0</v>
      </c>
      <c r="S215" s="34">
        <f t="shared" si="114"/>
        <v>526</v>
      </c>
      <c r="T215" s="34">
        <v>0</v>
      </c>
      <c r="U215" s="34">
        <v>0</v>
      </c>
      <c r="V215" s="26">
        <v>0</v>
      </c>
      <c r="W215" s="29">
        <f t="shared" si="103"/>
        <v>526</v>
      </c>
      <c r="X215" s="119">
        <v>526</v>
      </c>
      <c r="Y215" s="34">
        <f t="shared" si="115"/>
        <v>0</v>
      </c>
      <c r="Z215" s="213">
        <f t="shared" si="116"/>
        <v>1</v>
      </c>
    </row>
    <row r="216" spans="1:26" ht="15" customHeight="1" x14ac:dyDescent="0.25">
      <c r="A216" s="32" t="s">
        <v>212</v>
      </c>
      <c r="B216" s="113" t="s">
        <v>350</v>
      </c>
      <c r="C216" s="34">
        <v>110</v>
      </c>
      <c r="D216" s="27">
        <v>0</v>
      </c>
      <c r="E216" s="26">
        <f t="shared" si="109"/>
        <v>110</v>
      </c>
      <c r="F216" s="26">
        <v>0</v>
      </c>
      <c r="G216" s="26">
        <v>0</v>
      </c>
      <c r="H216" s="28">
        <f t="shared" si="110"/>
        <v>110</v>
      </c>
      <c r="I216" s="26">
        <v>0</v>
      </c>
      <c r="J216" s="26">
        <v>0</v>
      </c>
      <c r="K216" s="29">
        <f t="shared" si="117"/>
        <v>110</v>
      </c>
      <c r="L216" s="119">
        <v>110</v>
      </c>
      <c r="M216" s="34">
        <f t="shared" si="111"/>
        <v>0</v>
      </c>
      <c r="N216" s="35">
        <f t="shared" si="112"/>
        <v>1</v>
      </c>
      <c r="O216" s="34">
        <v>0</v>
      </c>
      <c r="P216" s="35">
        <f t="shared" si="113"/>
        <v>110</v>
      </c>
      <c r="Q216" s="34">
        <v>0</v>
      </c>
      <c r="R216" s="35">
        <v>0</v>
      </c>
      <c r="S216" s="34">
        <f t="shared" si="114"/>
        <v>110</v>
      </c>
      <c r="T216" s="34">
        <v>0</v>
      </c>
      <c r="U216" s="34">
        <v>0</v>
      </c>
      <c r="V216" s="26">
        <v>0</v>
      </c>
      <c r="W216" s="29">
        <f t="shared" si="103"/>
        <v>110</v>
      </c>
      <c r="X216" s="119">
        <v>110</v>
      </c>
      <c r="Y216" s="34">
        <f t="shared" si="115"/>
        <v>0</v>
      </c>
      <c r="Z216" s="213">
        <f t="shared" si="116"/>
        <v>1</v>
      </c>
    </row>
    <row r="217" spans="1:26" ht="15" customHeight="1" x14ac:dyDescent="0.25">
      <c r="A217" s="32" t="s">
        <v>213</v>
      </c>
      <c r="B217" s="113" t="s">
        <v>350</v>
      </c>
      <c r="C217" s="34">
        <v>476</v>
      </c>
      <c r="D217" s="27">
        <v>0</v>
      </c>
      <c r="E217" s="26">
        <f t="shared" si="109"/>
        <v>476</v>
      </c>
      <c r="F217" s="26">
        <v>0</v>
      </c>
      <c r="G217" s="26">
        <v>0</v>
      </c>
      <c r="H217" s="28">
        <f t="shared" si="110"/>
        <v>476</v>
      </c>
      <c r="I217" s="26">
        <v>0</v>
      </c>
      <c r="J217" s="26">
        <v>0</v>
      </c>
      <c r="K217" s="29">
        <f t="shared" si="117"/>
        <v>476</v>
      </c>
      <c r="L217" s="119">
        <v>476</v>
      </c>
      <c r="M217" s="34">
        <f t="shared" si="111"/>
        <v>0</v>
      </c>
      <c r="N217" s="35">
        <f t="shared" si="112"/>
        <v>1</v>
      </c>
      <c r="O217" s="34">
        <v>0</v>
      </c>
      <c r="P217" s="35">
        <f t="shared" si="113"/>
        <v>476</v>
      </c>
      <c r="Q217" s="34">
        <v>0</v>
      </c>
      <c r="R217" s="35">
        <v>0</v>
      </c>
      <c r="S217" s="34">
        <f t="shared" si="114"/>
        <v>476</v>
      </c>
      <c r="T217" s="34">
        <v>0</v>
      </c>
      <c r="U217" s="34">
        <v>0</v>
      </c>
      <c r="V217" s="26">
        <v>0</v>
      </c>
      <c r="W217" s="29">
        <f t="shared" si="103"/>
        <v>476</v>
      </c>
      <c r="X217" s="119">
        <v>476</v>
      </c>
      <c r="Y217" s="34">
        <f t="shared" si="115"/>
        <v>0</v>
      </c>
      <c r="Z217" s="213">
        <f t="shared" si="116"/>
        <v>1</v>
      </c>
    </row>
    <row r="218" spans="1:26" ht="15" customHeight="1" x14ac:dyDescent="0.25">
      <c r="A218" s="36" t="s">
        <v>214</v>
      </c>
      <c r="B218" s="123"/>
      <c r="C218" s="38"/>
      <c r="D218" s="39"/>
      <c r="E218" s="40"/>
      <c r="F218" s="40"/>
      <c r="G218" s="40"/>
      <c r="H218" s="41"/>
      <c r="I218" s="40"/>
      <c r="J218" s="40"/>
      <c r="K218" s="194"/>
      <c r="L218" s="124">
        <v>0</v>
      </c>
      <c r="M218" s="38"/>
      <c r="N218" s="42"/>
      <c r="O218" s="38"/>
      <c r="P218" s="42">
        <v>0</v>
      </c>
      <c r="Q218" s="38">
        <v>65</v>
      </c>
      <c r="R218" s="42">
        <v>0</v>
      </c>
      <c r="S218" s="34">
        <f t="shared" si="114"/>
        <v>65</v>
      </c>
      <c r="T218" s="34">
        <v>0</v>
      </c>
      <c r="U218" s="34">
        <v>0</v>
      </c>
      <c r="V218" s="26">
        <v>0</v>
      </c>
      <c r="W218" s="29">
        <f t="shared" si="103"/>
        <v>65</v>
      </c>
      <c r="X218" s="124">
        <v>0</v>
      </c>
      <c r="Y218" s="34">
        <f t="shared" si="115"/>
        <v>-65</v>
      </c>
      <c r="Z218" s="213">
        <f t="shared" si="116"/>
        <v>0</v>
      </c>
    </row>
    <row r="219" spans="1:26" ht="15" customHeight="1" x14ac:dyDescent="0.25">
      <c r="A219" s="36" t="s">
        <v>360</v>
      </c>
      <c r="B219" s="113" t="s">
        <v>350</v>
      </c>
      <c r="C219" s="38"/>
      <c r="D219" s="39"/>
      <c r="E219" s="40"/>
      <c r="F219" s="40"/>
      <c r="G219" s="40"/>
      <c r="H219" s="41"/>
      <c r="I219" s="40"/>
      <c r="J219" s="40"/>
      <c r="K219" s="194"/>
      <c r="L219" s="124">
        <v>0</v>
      </c>
      <c r="M219" s="38"/>
      <c r="N219" s="42"/>
      <c r="O219" s="38"/>
      <c r="P219" s="42"/>
      <c r="Q219" s="38"/>
      <c r="R219" s="42"/>
      <c r="S219" s="34"/>
      <c r="T219" s="34"/>
      <c r="U219" s="34"/>
      <c r="V219" s="26"/>
      <c r="W219" s="29">
        <v>0</v>
      </c>
      <c r="X219" s="124">
        <v>100</v>
      </c>
      <c r="Y219" s="34">
        <f t="shared" si="115"/>
        <v>100</v>
      </c>
      <c r="Z219" s="212" t="s">
        <v>263</v>
      </c>
    </row>
    <row r="220" spans="1:26" ht="15" customHeight="1" x14ac:dyDescent="0.25">
      <c r="A220" s="32" t="s">
        <v>215</v>
      </c>
      <c r="B220" s="113"/>
      <c r="C220" s="34"/>
      <c r="D220" s="27"/>
      <c r="E220" s="26"/>
      <c r="F220" s="26"/>
      <c r="G220" s="26"/>
      <c r="H220" s="28"/>
      <c r="I220" s="26"/>
      <c r="J220" s="26"/>
      <c r="K220" s="29"/>
      <c r="L220" s="119">
        <v>0</v>
      </c>
      <c r="M220" s="34"/>
      <c r="N220" s="35"/>
      <c r="O220" s="34"/>
      <c r="P220" s="35"/>
      <c r="Q220" s="34"/>
      <c r="R220" s="35"/>
      <c r="S220" s="34">
        <v>0</v>
      </c>
      <c r="T220" s="34">
        <v>150</v>
      </c>
      <c r="U220" s="34">
        <v>0</v>
      </c>
      <c r="V220" s="26">
        <v>0</v>
      </c>
      <c r="W220" s="29">
        <f t="shared" si="103"/>
        <v>150</v>
      </c>
      <c r="X220" s="119">
        <v>0</v>
      </c>
      <c r="Y220" s="34">
        <f t="shared" si="115"/>
        <v>-150</v>
      </c>
      <c r="Z220" s="213">
        <f t="shared" si="116"/>
        <v>0</v>
      </c>
    </row>
    <row r="221" spans="1:26" ht="15" customHeight="1" x14ac:dyDescent="0.25">
      <c r="A221" s="24" t="s">
        <v>216</v>
      </c>
      <c r="B221" s="118"/>
      <c r="C221" s="26"/>
      <c r="D221" s="27"/>
      <c r="E221" s="26"/>
      <c r="F221" s="26"/>
      <c r="G221" s="26"/>
      <c r="H221" s="28"/>
      <c r="I221" s="26"/>
      <c r="J221" s="26"/>
      <c r="K221" s="29"/>
      <c r="L221" s="125">
        <v>0</v>
      </c>
      <c r="M221" s="26"/>
      <c r="N221" s="28"/>
      <c r="O221" s="26"/>
      <c r="P221" s="28"/>
      <c r="Q221" s="26"/>
      <c r="R221" s="28"/>
      <c r="S221" s="26">
        <v>0</v>
      </c>
      <c r="T221" s="26">
        <v>0</v>
      </c>
      <c r="U221" s="26">
        <v>0</v>
      </c>
      <c r="V221" s="26">
        <f>50</f>
        <v>50</v>
      </c>
      <c r="W221" s="29">
        <f>SUM(S221:V221)</f>
        <v>50</v>
      </c>
      <c r="X221" s="125">
        <v>0</v>
      </c>
      <c r="Y221" s="34">
        <f t="shared" si="115"/>
        <v>-50</v>
      </c>
      <c r="Z221" s="213">
        <f t="shared" si="116"/>
        <v>0</v>
      </c>
    </row>
    <row r="222" spans="1:26" ht="36" customHeight="1" x14ac:dyDescent="0.25">
      <c r="A222" s="24" t="s">
        <v>217</v>
      </c>
      <c r="B222" s="118"/>
      <c r="C222" s="26"/>
      <c r="D222" s="27"/>
      <c r="E222" s="26"/>
      <c r="F222" s="26"/>
      <c r="G222" s="26"/>
      <c r="H222" s="28"/>
      <c r="I222" s="26"/>
      <c r="J222" s="26"/>
      <c r="K222" s="29"/>
      <c r="L222" s="125">
        <v>0</v>
      </c>
      <c r="M222" s="26"/>
      <c r="N222" s="28"/>
      <c r="O222" s="26"/>
      <c r="P222" s="28"/>
      <c r="Q222" s="26"/>
      <c r="R222" s="28"/>
      <c r="S222" s="26">
        <v>0</v>
      </c>
      <c r="T222" s="26">
        <v>0</v>
      </c>
      <c r="U222" s="26">
        <v>0</v>
      </c>
      <c r="V222" s="26">
        <f>8</f>
        <v>8</v>
      </c>
      <c r="W222" s="29">
        <f>SUM(S222:V222)</f>
        <v>8</v>
      </c>
      <c r="X222" s="125">
        <v>0</v>
      </c>
      <c r="Y222" s="34">
        <f t="shared" si="115"/>
        <v>-8</v>
      </c>
      <c r="Z222" s="213">
        <f t="shared" si="116"/>
        <v>0</v>
      </c>
    </row>
    <row r="223" spans="1:26" ht="27.75" customHeight="1" x14ac:dyDescent="0.25">
      <c r="A223" s="24" t="s">
        <v>218</v>
      </c>
      <c r="B223" s="118"/>
      <c r="C223" s="26"/>
      <c r="D223" s="27"/>
      <c r="E223" s="26"/>
      <c r="F223" s="26"/>
      <c r="G223" s="26"/>
      <c r="H223" s="28"/>
      <c r="I223" s="26"/>
      <c r="J223" s="26"/>
      <c r="K223" s="29"/>
      <c r="L223" s="125">
        <v>0</v>
      </c>
      <c r="M223" s="26"/>
      <c r="N223" s="28"/>
      <c r="O223" s="26"/>
      <c r="P223" s="28"/>
      <c r="Q223" s="26"/>
      <c r="R223" s="28"/>
      <c r="S223" s="26">
        <v>0</v>
      </c>
      <c r="T223" s="26">
        <v>0</v>
      </c>
      <c r="U223" s="26">
        <v>0</v>
      </c>
      <c r="V223" s="26">
        <f>35</f>
        <v>35</v>
      </c>
      <c r="W223" s="29">
        <f>SUM(S223:V223)</f>
        <v>35</v>
      </c>
      <c r="X223" s="125">
        <v>0</v>
      </c>
      <c r="Y223" s="34">
        <f t="shared" si="115"/>
        <v>-35</v>
      </c>
      <c r="Z223" s="213">
        <f t="shared" si="116"/>
        <v>0</v>
      </c>
    </row>
    <row r="224" spans="1:26" ht="13.5" customHeight="1" x14ac:dyDescent="0.25">
      <c r="A224" s="193" t="s">
        <v>359</v>
      </c>
      <c r="B224" s="113" t="s">
        <v>350</v>
      </c>
      <c r="C224" s="26"/>
      <c r="D224" s="27"/>
      <c r="E224" s="26"/>
      <c r="F224" s="26"/>
      <c r="G224" s="26"/>
      <c r="H224" s="28"/>
      <c r="I224" s="26"/>
      <c r="J224" s="26"/>
      <c r="K224" s="29"/>
      <c r="L224" s="125">
        <v>0</v>
      </c>
      <c r="M224" s="26"/>
      <c r="N224" s="28"/>
      <c r="O224" s="26"/>
      <c r="P224" s="28"/>
      <c r="Q224" s="26"/>
      <c r="R224" s="28"/>
      <c r="S224" s="26"/>
      <c r="T224" s="26"/>
      <c r="U224" s="26"/>
      <c r="V224" s="26"/>
      <c r="W224" s="29">
        <v>0</v>
      </c>
      <c r="X224" s="125">
        <v>200</v>
      </c>
      <c r="Y224" s="34">
        <f t="shared" si="115"/>
        <v>200</v>
      </c>
      <c r="Z224" s="212" t="s">
        <v>263</v>
      </c>
    </row>
    <row r="225" spans="1:27" ht="15" customHeight="1" x14ac:dyDescent="0.25">
      <c r="A225" s="24" t="s">
        <v>219</v>
      </c>
      <c r="B225" s="113" t="s">
        <v>350</v>
      </c>
      <c r="C225" s="26"/>
      <c r="D225" s="27"/>
      <c r="E225" s="26"/>
      <c r="F225" s="26"/>
      <c r="G225" s="26"/>
      <c r="H225" s="28"/>
      <c r="I225" s="26"/>
      <c r="J225" s="26"/>
      <c r="K225" s="29"/>
      <c r="L225" s="125">
        <v>0</v>
      </c>
      <c r="M225" s="26"/>
      <c r="N225" s="28"/>
      <c r="O225" s="26"/>
      <c r="P225" s="28">
        <v>0</v>
      </c>
      <c r="Q225" s="26">
        <v>100</v>
      </c>
      <c r="R225" s="28">
        <v>0</v>
      </c>
      <c r="S225" s="26">
        <f t="shared" si="114"/>
        <v>100</v>
      </c>
      <c r="T225" s="26">
        <v>0</v>
      </c>
      <c r="U225" s="26">
        <v>0</v>
      </c>
      <c r="V225" s="26">
        <v>0</v>
      </c>
      <c r="W225" s="29">
        <f t="shared" si="103"/>
        <v>100</v>
      </c>
      <c r="X225" s="125">
        <v>100</v>
      </c>
      <c r="Y225" s="34">
        <f t="shared" si="115"/>
        <v>0</v>
      </c>
      <c r="Z225" s="213">
        <f t="shared" si="116"/>
        <v>1</v>
      </c>
    </row>
    <row r="226" spans="1:27" ht="18" customHeight="1" thickBot="1" x14ac:dyDescent="0.3">
      <c r="A226" s="121" t="s">
        <v>220</v>
      </c>
      <c r="B226" s="150"/>
      <c r="C226" s="40">
        <v>3529.25</v>
      </c>
      <c r="D226" s="39">
        <f>16.22</f>
        <v>16.22</v>
      </c>
      <c r="E226" s="40">
        <f t="shared" si="109"/>
        <v>3545.47</v>
      </c>
      <c r="F226" s="40">
        <v>1211.27</v>
      </c>
      <c r="G226" s="40">
        <f>-16.22-7.5</f>
        <v>-23.72</v>
      </c>
      <c r="H226" s="41">
        <f t="shared" si="110"/>
        <v>4733.0199999999995</v>
      </c>
      <c r="I226" s="40">
        <v>250</v>
      </c>
      <c r="J226" s="40">
        <v>0</v>
      </c>
      <c r="K226" s="194">
        <f t="shared" si="117"/>
        <v>4983.0199999999995</v>
      </c>
      <c r="L226" s="126">
        <v>5587.81</v>
      </c>
      <c r="M226" s="40">
        <f t="shared" si="111"/>
        <v>604.79000000000087</v>
      </c>
      <c r="N226" s="41">
        <f t="shared" si="112"/>
        <v>1.1213701731078745</v>
      </c>
      <c r="O226" s="40">
        <f>1440.08</f>
        <v>1440.08</v>
      </c>
      <c r="P226" s="41">
        <f t="shared" si="113"/>
        <v>7027.89</v>
      </c>
      <c r="Q226" s="40">
        <v>3560</v>
      </c>
      <c r="R226" s="41">
        <f>-19</f>
        <v>-19</v>
      </c>
      <c r="S226" s="40">
        <f>SUM(P226:R226)</f>
        <v>10568.89</v>
      </c>
      <c r="T226" s="40">
        <v>-150</v>
      </c>
      <c r="U226" s="40">
        <v>0</v>
      </c>
      <c r="V226" s="40">
        <f>-35-58</f>
        <v>-93</v>
      </c>
      <c r="W226" s="194">
        <f t="shared" si="103"/>
        <v>10325.89</v>
      </c>
      <c r="X226" s="126">
        <v>8793.5</v>
      </c>
      <c r="Y226" s="34">
        <f t="shared" si="115"/>
        <v>-1532.3899999999994</v>
      </c>
      <c r="Z226" s="213">
        <f t="shared" si="116"/>
        <v>0.85159729572947229</v>
      </c>
    </row>
    <row r="227" spans="1:27" ht="16.350000000000001" customHeight="1" thickBot="1" x14ac:dyDescent="0.3">
      <c r="A227" s="116" t="s">
        <v>221</v>
      </c>
      <c r="B227" s="109"/>
      <c r="C227" s="84">
        <f>SUM(C229:C230)</f>
        <v>16860</v>
      </c>
      <c r="D227" s="85">
        <f>SUM(D229:D230)</f>
        <v>-4139</v>
      </c>
      <c r="E227" s="84">
        <f>SUM(C227:D227)</f>
        <v>12721</v>
      </c>
      <c r="F227" s="84">
        <f>SUM(F229:F230)</f>
        <v>28053</v>
      </c>
      <c r="G227" s="84">
        <f>SUM(G229:G230)</f>
        <v>258</v>
      </c>
      <c r="H227" s="86">
        <f>SUM(H229:H230)</f>
        <v>41416</v>
      </c>
      <c r="I227" s="84">
        <f>SUM(I229:I230)</f>
        <v>0</v>
      </c>
      <c r="J227" s="84">
        <f>SUM(J229:J230)</f>
        <v>-27831</v>
      </c>
      <c r="K227" s="87">
        <f t="shared" si="117"/>
        <v>13585</v>
      </c>
      <c r="L227" s="84">
        <f t="shared" ref="L227" si="118">SUM(L229:L230)</f>
        <v>0</v>
      </c>
      <c r="M227" s="84">
        <f>SUM(M229:M230)</f>
        <v>-13585</v>
      </c>
      <c r="N227" s="127">
        <f t="shared" si="112"/>
        <v>0</v>
      </c>
      <c r="O227" s="128">
        <f t="shared" ref="O227:T227" si="119">SUM(O229:O230)</f>
        <v>300</v>
      </c>
      <c r="P227" s="129">
        <f t="shared" si="119"/>
        <v>3318</v>
      </c>
      <c r="Q227" s="128">
        <f t="shared" si="119"/>
        <v>300</v>
      </c>
      <c r="R227" s="127">
        <f t="shared" si="119"/>
        <v>253</v>
      </c>
      <c r="S227" s="128">
        <f t="shared" si="119"/>
        <v>3871</v>
      </c>
      <c r="T227" s="128">
        <f t="shared" si="119"/>
        <v>0</v>
      </c>
      <c r="U227" s="128">
        <f>SUM(U229:U230)</f>
        <v>0</v>
      </c>
      <c r="V227" s="128">
        <f>SUM(V229:V230)</f>
        <v>7317</v>
      </c>
      <c r="W227" s="87">
        <f t="shared" si="103"/>
        <v>11188</v>
      </c>
      <c r="X227" s="84">
        <f t="shared" ref="X227" si="120">SUM(X229:X230)</f>
        <v>300</v>
      </c>
      <c r="Y227" s="84">
        <f>X227-W227</f>
        <v>-10888</v>
      </c>
      <c r="Z227" s="211">
        <f>X227/W227</f>
        <v>2.6814444047193423E-2</v>
      </c>
      <c r="AA227" s="191"/>
    </row>
    <row r="228" spans="1:27" ht="14.25" customHeight="1" x14ac:dyDescent="0.25">
      <c r="A228" s="117" t="s">
        <v>47</v>
      </c>
      <c r="B228" s="103"/>
      <c r="C228" s="26"/>
      <c r="D228" s="27"/>
      <c r="E228" s="26"/>
      <c r="F228" s="26"/>
      <c r="G228" s="26"/>
      <c r="H228" s="28"/>
      <c r="I228" s="26"/>
      <c r="J228" s="26"/>
      <c r="K228" s="29"/>
      <c r="L228" s="125"/>
      <c r="M228" s="26"/>
      <c r="N228" s="28"/>
      <c r="O228" s="26"/>
      <c r="P228" s="28"/>
      <c r="Q228" s="26"/>
      <c r="R228" s="28"/>
      <c r="S228" s="26"/>
      <c r="T228" s="26"/>
      <c r="U228" s="26"/>
      <c r="V228" s="26"/>
      <c r="W228" s="29"/>
      <c r="X228" s="125"/>
      <c r="Y228" s="125"/>
      <c r="Z228" s="214"/>
    </row>
    <row r="229" spans="1:27" ht="13.9" customHeight="1" x14ac:dyDescent="0.25">
      <c r="A229" s="114" t="s">
        <v>222</v>
      </c>
      <c r="B229" s="90"/>
      <c r="C229" s="34">
        <v>0</v>
      </c>
      <c r="D229" s="27">
        <v>0</v>
      </c>
      <c r="E229" s="59">
        <f>SUM(C229:D229)</f>
        <v>0</v>
      </c>
      <c r="F229" s="59">
        <v>0</v>
      </c>
      <c r="G229" s="59">
        <v>0</v>
      </c>
      <c r="H229" s="60">
        <f>SUM(E229:G229)</f>
        <v>0</v>
      </c>
      <c r="I229" s="59">
        <v>0</v>
      </c>
      <c r="J229" s="59">
        <v>0</v>
      </c>
      <c r="K229" s="29">
        <f t="shared" si="117"/>
        <v>0</v>
      </c>
      <c r="L229" s="119">
        <v>0</v>
      </c>
      <c r="M229" s="34">
        <f>L229-K229</f>
        <v>0</v>
      </c>
      <c r="N229" s="92" t="s">
        <v>39</v>
      </c>
      <c r="O229" s="57">
        <v>0</v>
      </c>
      <c r="P229" s="92">
        <f>L229+O229</f>
        <v>0</v>
      </c>
      <c r="Q229" s="57">
        <v>0</v>
      </c>
      <c r="R229" s="92">
        <v>0</v>
      </c>
      <c r="S229" s="57">
        <f>SUM(P229:R229)</f>
        <v>0</v>
      </c>
      <c r="T229" s="57">
        <v>0</v>
      </c>
      <c r="U229" s="57">
        <v>0</v>
      </c>
      <c r="V229" s="59">
        <v>0</v>
      </c>
      <c r="W229" s="29">
        <f t="shared" si="103"/>
        <v>0</v>
      </c>
      <c r="X229" s="192" t="s">
        <v>263</v>
      </c>
      <c r="Y229" s="192" t="s">
        <v>263</v>
      </c>
      <c r="Z229" s="215" t="s">
        <v>263</v>
      </c>
    </row>
    <row r="230" spans="1:27" ht="15" customHeight="1" thickBot="1" x14ac:dyDescent="0.3">
      <c r="A230" s="229" t="s">
        <v>223</v>
      </c>
      <c r="B230" s="230"/>
      <c r="C230" s="231">
        <v>16860</v>
      </c>
      <c r="D230" s="232">
        <f>-6757+2325+293</f>
        <v>-4139</v>
      </c>
      <c r="E230" s="236">
        <f>SUM(C230:D230)+254</f>
        <v>12975</v>
      </c>
      <c r="F230" s="236">
        <v>28053</v>
      </c>
      <c r="G230" s="236">
        <f>-407+665</f>
        <v>258</v>
      </c>
      <c r="H230" s="235">
        <f>SUM(E230:G230)+130</f>
        <v>41416</v>
      </c>
      <c r="I230" s="236">
        <v>0</v>
      </c>
      <c r="J230" s="236">
        <f>-1423-20794-5614</f>
        <v>-27831</v>
      </c>
      <c r="K230" s="234">
        <f t="shared" si="117"/>
        <v>13585</v>
      </c>
      <c r="L230" s="250">
        <v>0</v>
      </c>
      <c r="M230" s="231">
        <f>L230-K230</f>
        <v>-13585</v>
      </c>
      <c r="N230" s="233">
        <f t="shared" si="112"/>
        <v>0</v>
      </c>
      <c r="O230" s="231">
        <f>0+300</f>
        <v>300</v>
      </c>
      <c r="P230" s="235">
        <f>L230+O230+3018</f>
        <v>3318</v>
      </c>
      <c r="Q230" s="231">
        <v>300</v>
      </c>
      <c r="R230" s="233">
        <f>253</f>
        <v>253</v>
      </c>
      <c r="S230" s="236">
        <f>SUM(P230:R230)</f>
        <v>3871</v>
      </c>
      <c r="T230" s="236">
        <v>0</v>
      </c>
      <c r="U230" s="236">
        <v>0</v>
      </c>
      <c r="V230" s="236">
        <f>3302+2295+1720</f>
        <v>7317</v>
      </c>
      <c r="W230" s="234">
        <f t="shared" si="103"/>
        <v>11188</v>
      </c>
      <c r="X230" s="250">
        <v>300</v>
      </c>
      <c r="Y230" s="250">
        <f>X230-W230</f>
        <v>-10888</v>
      </c>
      <c r="Z230" s="251">
        <f>X230/W230</f>
        <v>2.6814444047193423E-2</v>
      </c>
    </row>
    <row r="231" spans="1:27" ht="16.350000000000001" customHeight="1" thickBot="1" x14ac:dyDescent="0.3">
      <c r="A231" s="116" t="s">
        <v>224</v>
      </c>
      <c r="B231" s="109"/>
      <c r="C231" s="84">
        <f>SUM(C233:C255)</f>
        <v>16727.21</v>
      </c>
      <c r="D231" s="85">
        <f>SUM(D233:D255)</f>
        <v>0</v>
      </c>
      <c r="E231" s="84">
        <f>SUM(C231:D231)</f>
        <v>16727.21</v>
      </c>
      <c r="F231" s="84">
        <f>SUM(F233:F255)</f>
        <v>2023.6799999999998</v>
      </c>
      <c r="G231" s="84">
        <f>SUM(G233:G255)</f>
        <v>92.3</v>
      </c>
      <c r="H231" s="86">
        <f>SUM(H233:H255)</f>
        <v>18912.89</v>
      </c>
      <c r="I231" s="84">
        <f>SUM(I233:I255)</f>
        <v>-200</v>
      </c>
      <c r="J231" s="84">
        <f>SUM(J233:J255)</f>
        <v>350.1</v>
      </c>
      <c r="K231" s="87">
        <f t="shared" si="117"/>
        <v>19062.989999999998</v>
      </c>
      <c r="L231" s="84">
        <f>SUM(L233:L255)</f>
        <v>18185.61</v>
      </c>
      <c r="M231" s="84">
        <f>SUM(M233:M255)</f>
        <v>-877.38000000000079</v>
      </c>
      <c r="N231" s="86">
        <f>L231/K231</f>
        <v>0.95397469127350965</v>
      </c>
      <c r="O231" s="84">
        <f t="shared" ref="O231:T231" si="121">SUM(O233:O255)</f>
        <v>-146.41</v>
      </c>
      <c r="P231" s="87">
        <f t="shared" si="121"/>
        <v>18039.2</v>
      </c>
      <c r="Q231" s="84">
        <f t="shared" si="121"/>
        <v>787.23</v>
      </c>
      <c r="R231" s="86">
        <f t="shared" si="121"/>
        <v>0</v>
      </c>
      <c r="S231" s="84">
        <f t="shared" si="121"/>
        <v>18826.43</v>
      </c>
      <c r="T231" s="84">
        <f t="shared" si="121"/>
        <v>-1143.1999999999998</v>
      </c>
      <c r="U231" s="84">
        <f>SUM(U233:U255)</f>
        <v>0</v>
      </c>
      <c r="V231" s="84">
        <f>SUM(V233:V255)</f>
        <v>300</v>
      </c>
      <c r="W231" s="87">
        <f>SUM(S231:V231)</f>
        <v>17983.23</v>
      </c>
      <c r="X231" s="84">
        <f t="shared" ref="X231" si="122">SUM(X233:X255)</f>
        <v>18536.239999999998</v>
      </c>
      <c r="Y231" s="84">
        <f>X231-W231</f>
        <v>553.0099999999984</v>
      </c>
      <c r="Z231" s="211">
        <f>X231/W231</f>
        <v>1.0307514278580654</v>
      </c>
      <c r="AA231" s="191"/>
    </row>
    <row r="232" spans="1:27" ht="13.5" customHeight="1" x14ac:dyDescent="0.25">
      <c r="A232" s="117" t="s">
        <v>47</v>
      </c>
      <c r="B232" s="103"/>
      <c r="C232" s="26"/>
      <c r="D232" s="27"/>
      <c r="E232" s="26"/>
      <c r="F232" s="26"/>
      <c r="G232" s="26"/>
      <c r="H232" s="28"/>
      <c r="I232" s="26"/>
      <c r="J232" s="26"/>
      <c r="K232" s="29"/>
      <c r="L232" s="125"/>
      <c r="M232" s="26"/>
      <c r="N232" s="28"/>
      <c r="O232" s="26"/>
      <c r="P232" s="28"/>
      <c r="Q232" s="26"/>
      <c r="R232" s="28"/>
      <c r="S232" s="26"/>
      <c r="T232" s="26"/>
      <c r="U232" s="26"/>
      <c r="V232" s="26"/>
      <c r="W232" s="29"/>
      <c r="X232" s="125"/>
      <c r="Y232" s="125"/>
      <c r="Z232" s="214"/>
    </row>
    <row r="233" spans="1:27" ht="25.5" customHeight="1" x14ac:dyDescent="0.25">
      <c r="A233" s="32" t="s">
        <v>225</v>
      </c>
      <c r="B233" s="90"/>
      <c r="C233" s="34">
        <v>105.93</v>
      </c>
      <c r="D233" s="27">
        <v>0</v>
      </c>
      <c r="E233" s="26">
        <f>SUM(C233:D233)</f>
        <v>105.93</v>
      </c>
      <c r="F233" s="26">
        <v>0</v>
      </c>
      <c r="G233" s="26">
        <v>0</v>
      </c>
      <c r="H233" s="28">
        <f>SUM(E233:G233)</f>
        <v>105.93</v>
      </c>
      <c r="I233" s="26">
        <v>0</v>
      </c>
      <c r="J233" s="26">
        <v>0</v>
      </c>
      <c r="K233" s="29">
        <f t="shared" si="117"/>
        <v>105.93</v>
      </c>
      <c r="L233" s="119">
        <v>0</v>
      </c>
      <c r="M233" s="34">
        <f>L233-K233</f>
        <v>-105.93</v>
      </c>
      <c r="N233" s="35">
        <f>L233/K233</f>
        <v>0</v>
      </c>
      <c r="O233" s="34">
        <v>0</v>
      </c>
      <c r="P233" s="35">
        <f>L233+O233</f>
        <v>0</v>
      </c>
      <c r="Q233" s="34">
        <v>0</v>
      </c>
      <c r="R233" s="35">
        <v>0</v>
      </c>
      <c r="S233" s="34">
        <f>SUM(P233:R233)</f>
        <v>0</v>
      </c>
      <c r="T233" s="34">
        <v>0</v>
      </c>
      <c r="U233" s="34">
        <v>0</v>
      </c>
      <c r="V233" s="26">
        <v>0</v>
      </c>
      <c r="W233" s="29">
        <f t="shared" si="103"/>
        <v>0</v>
      </c>
      <c r="X233" s="192" t="s">
        <v>263</v>
      </c>
      <c r="Y233" s="192" t="s">
        <v>263</v>
      </c>
      <c r="Z233" s="215" t="s">
        <v>263</v>
      </c>
    </row>
    <row r="234" spans="1:27" ht="39.75" customHeight="1" x14ac:dyDescent="0.25">
      <c r="A234" s="32" t="s">
        <v>226</v>
      </c>
      <c r="B234" s="113" t="s">
        <v>227</v>
      </c>
      <c r="C234" s="34">
        <v>860</v>
      </c>
      <c r="D234" s="27">
        <v>0</v>
      </c>
      <c r="E234" s="26">
        <f t="shared" ref="E234:E255" si="123">SUM(C234:D234)</f>
        <v>860</v>
      </c>
      <c r="F234" s="26">
        <v>-180</v>
      </c>
      <c r="G234" s="26">
        <v>0</v>
      </c>
      <c r="H234" s="28">
        <f t="shared" ref="H234:H239" si="124">SUM(E234:G234)</f>
        <v>680</v>
      </c>
      <c r="I234" s="26">
        <v>0</v>
      </c>
      <c r="J234" s="26">
        <v>0</v>
      </c>
      <c r="K234" s="29">
        <f t="shared" si="117"/>
        <v>680</v>
      </c>
      <c r="L234" s="119">
        <v>860</v>
      </c>
      <c r="M234" s="34">
        <f t="shared" ref="M234:M255" si="125">L234-K234</f>
        <v>180</v>
      </c>
      <c r="N234" s="35">
        <f t="shared" ref="N234:N255" si="126">L234/K234</f>
        <v>1.2647058823529411</v>
      </c>
      <c r="O234" s="34">
        <v>0</v>
      </c>
      <c r="P234" s="35">
        <f t="shared" ref="P234:P253" si="127">L234+O234</f>
        <v>860</v>
      </c>
      <c r="Q234" s="34">
        <v>0</v>
      </c>
      <c r="R234" s="35">
        <v>0</v>
      </c>
      <c r="S234" s="34">
        <f t="shared" ref="S234:S253" si="128">SUM(P234:R234)</f>
        <v>860</v>
      </c>
      <c r="T234" s="34">
        <v>-553.5</v>
      </c>
      <c r="U234" s="34">
        <v>0</v>
      </c>
      <c r="V234" s="26">
        <v>0</v>
      </c>
      <c r="W234" s="29">
        <f t="shared" si="103"/>
        <v>306.5</v>
      </c>
      <c r="X234" s="119">
        <v>860</v>
      </c>
      <c r="Y234" s="119">
        <f>X234-W234</f>
        <v>553.5</v>
      </c>
      <c r="Z234" s="216">
        <f>X234/W234</f>
        <v>2.8058727569331157</v>
      </c>
    </row>
    <row r="235" spans="1:27" ht="25.5" customHeight="1" x14ac:dyDescent="0.25">
      <c r="A235" s="32" t="s">
        <v>228</v>
      </c>
      <c r="B235" s="113" t="s">
        <v>229</v>
      </c>
      <c r="C235" s="34">
        <v>400</v>
      </c>
      <c r="D235" s="27">
        <v>0</v>
      </c>
      <c r="E235" s="26">
        <f t="shared" si="123"/>
        <v>400</v>
      </c>
      <c r="F235" s="26">
        <v>480</v>
      </c>
      <c r="G235" s="26">
        <v>0</v>
      </c>
      <c r="H235" s="28">
        <f t="shared" si="124"/>
        <v>880</v>
      </c>
      <c r="I235" s="26">
        <v>0</v>
      </c>
      <c r="J235" s="26">
        <v>0</v>
      </c>
      <c r="K235" s="29">
        <f t="shared" si="117"/>
        <v>880</v>
      </c>
      <c r="L235" s="119">
        <v>400</v>
      </c>
      <c r="M235" s="34">
        <f t="shared" si="125"/>
        <v>-480</v>
      </c>
      <c r="N235" s="35">
        <f t="shared" si="126"/>
        <v>0.45454545454545453</v>
      </c>
      <c r="O235" s="34">
        <v>0</v>
      </c>
      <c r="P235" s="35">
        <f t="shared" si="127"/>
        <v>400</v>
      </c>
      <c r="Q235" s="34">
        <v>0</v>
      </c>
      <c r="R235" s="35">
        <v>0</v>
      </c>
      <c r="S235" s="34">
        <f t="shared" si="128"/>
        <v>400</v>
      </c>
      <c r="T235" s="34">
        <v>-386.2</v>
      </c>
      <c r="U235" s="34">
        <v>0</v>
      </c>
      <c r="V235" s="26">
        <v>0</v>
      </c>
      <c r="W235" s="29">
        <f t="shared" si="103"/>
        <v>13.800000000000011</v>
      </c>
      <c r="X235" s="119">
        <v>400</v>
      </c>
      <c r="Y235" s="119">
        <f t="shared" ref="Y235:Y255" si="129">X235-W235</f>
        <v>386.2</v>
      </c>
      <c r="Z235" s="216">
        <f t="shared" ref="Z235:Z255" si="130">X235/W235</f>
        <v>28.985507246376788</v>
      </c>
    </row>
    <row r="236" spans="1:27" ht="26.25" customHeight="1" x14ac:dyDescent="0.25">
      <c r="A236" s="32" t="s">
        <v>230</v>
      </c>
      <c r="B236" s="113" t="s">
        <v>231</v>
      </c>
      <c r="C236" s="34">
        <v>300</v>
      </c>
      <c r="D236" s="27">
        <v>0</v>
      </c>
      <c r="E236" s="26">
        <f t="shared" si="123"/>
        <v>300</v>
      </c>
      <c r="F236" s="26">
        <v>0</v>
      </c>
      <c r="G236" s="26">
        <v>0</v>
      </c>
      <c r="H236" s="28">
        <f t="shared" si="124"/>
        <v>300</v>
      </c>
      <c r="I236" s="26">
        <v>0</v>
      </c>
      <c r="J236" s="26">
        <v>0</v>
      </c>
      <c r="K236" s="29">
        <f t="shared" si="117"/>
        <v>300</v>
      </c>
      <c r="L236" s="119">
        <v>300</v>
      </c>
      <c r="M236" s="34">
        <f t="shared" si="125"/>
        <v>0</v>
      </c>
      <c r="N236" s="35">
        <f t="shared" si="126"/>
        <v>1</v>
      </c>
      <c r="O236" s="34">
        <v>0</v>
      </c>
      <c r="P236" s="35">
        <f t="shared" si="127"/>
        <v>300</v>
      </c>
      <c r="Q236" s="34">
        <v>0</v>
      </c>
      <c r="R236" s="35">
        <v>0</v>
      </c>
      <c r="S236" s="34">
        <f t="shared" si="128"/>
        <v>300</v>
      </c>
      <c r="T236" s="34">
        <v>-278.89999999999998</v>
      </c>
      <c r="U236" s="34">
        <v>0</v>
      </c>
      <c r="V236" s="26">
        <v>0</v>
      </c>
      <c r="W236" s="29">
        <f t="shared" si="103"/>
        <v>21.100000000000023</v>
      </c>
      <c r="X236" s="119">
        <v>300</v>
      </c>
      <c r="Y236" s="119">
        <f t="shared" si="129"/>
        <v>278.89999999999998</v>
      </c>
      <c r="Z236" s="216">
        <f t="shared" si="130"/>
        <v>14.21800947867297</v>
      </c>
    </row>
    <row r="237" spans="1:27" ht="27.75" customHeight="1" x14ac:dyDescent="0.25">
      <c r="A237" s="32" t="s">
        <v>232</v>
      </c>
      <c r="B237" s="113"/>
      <c r="C237" s="34"/>
      <c r="D237" s="27"/>
      <c r="E237" s="26"/>
      <c r="F237" s="26"/>
      <c r="G237" s="26"/>
      <c r="H237" s="28"/>
      <c r="I237" s="26"/>
      <c r="J237" s="26"/>
      <c r="K237" s="29"/>
      <c r="L237" s="119">
        <v>0</v>
      </c>
      <c r="M237" s="34"/>
      <c r="N237" s="35"/>
      <c r="O237" s="34"/>
      <c r="P237" s="35">
        <f>40</f>
        <v>40</v>
      </c>
      <c r="Q237" s="34">
        <v>0</v>
      </c>
      <c r="R237" s="35">
        <v>0</v>
      </c>
      <c r="S237" s="34">
        <f t="shared" si="128"/>
        <v>40</v>
      </c>
      <c r="T237" s="34">
        <v>0</v>
      </c>
      <c r="U237" s="34">
        <v>0</v>
      </c>
      <c r="V237" s="26">
        <v>0</v>
      </c>
      <c r="W237" s="29">
        <f t="shared" si="103"/>
        <v>40</v>
      </c>
      <c r="X237" s="119">
        <v>0</v>
      </c>
      <c r="Y237" s="119">
        <f t="shared" si="129"/>
        <v>-40</v>
      </c>
      <c r="Z237" s="216">
        <f t="shared" si="130"/>
        <v>0</v>
      </c>
    </row>
    <row r="238" spans="1:27" ht="15" customHeight="1" x14ac:dyDescent="0.25">
      <c r="A238" s="32" t="s">
        <v>233</v>
      </c>
      <c r="B238" s="113" t="s">
        <v>350</v>
      </c>
      <c r="C238" s="34">
        <v>6732</v>
      </c>
      <c r="D238" s="27">
        <v>0</v>
      </c>
      <c r="E238" s="26">
        <f t="shared" si="123"/>
        <v>6732</v>
      </c>
      <c r="F238" s="26">
        <v>0</v>
      </c>
      <c r="G238" s="26">
        <v>0</v>
      </c>
      <c r="H238" s="28">
        <f t="shared" si="124"/>
        <v>6732</v>
      </c>
      <c r="I238" s="26">
        <v>0</v>
      </c>
      <c r="J238" s="26">
        <v>0</v>
      </c>
      <c r="K238" s="29">
        <f t="shared" si="117"/>
        <v>6732</v>
      </c>
      <c r="L238" s="119">
        <v>7382</v>
      </c>
      <c r="M238" s="34">
        <f t="shared" si="125"/>
        <v>650</v>
      </c>
      <c r="N238" s="35">
        <f t="shared" si="126"/>
        <v>1.0965537730243613</v>
      </c>
      <c r="O238" s="34">
        <v>0</v>
      </c>
      <c r="P238" s="35">
        <f t="shared" si="127"/>
        <v>7382</v>
      </c>
      <c r="Q238" s="34">
        <v>0</v>
      </c>
      <c r="R238" s="35">
        <v>0</v>
      </c>
      <c r="S238" s="34">
        <f t="shared" si="128"/>
        <v>7382</v>
      </c>
      <c r="T238" s="34">
        <v>0</v>
      </c>
      <c r="U238" s="34">
        <v>0</v>
      </c>
      <c r="V238" s="26">
        <v>0</v>
      </c>
      <c r="W238" s="29">
        <f>SUM(S238:V238)</f>
        <v>7382</v>
      </c>
      <c r="X238" s="119">
        <v>7502</v>
      </c>
      <c r="Y238" s="119">
        <f t="shared" si="129"/>
        <v>120</v>
      </c>
      <c r="Z238" s="216">
        <f t="shared" si="130"/>
        <v>1.0162557572473585</v>
      </c>
    </row>
    <row r="239" spans="1:27" ht="29.25" customHeight="1" x14ac:dyDescent="0.25">
      <c r="A239" s="32" t="s">
        <v>234</v>
      </c>
      <c r="B239" s="113"/>
      <c r="C239" s="34">
        <v>550</v>
      </c>
      <c r="D239" s="27">
        <v>0</v>
      </c>
      <c r="E239" s="26">
        <f t="shared" si="123"/>
        <v>550</v>
      </c>
      <c r="F239" s="26">
        <v>0</v>
      </c>
      <c r="G239" s="26">
        <v>0</v>
      </c>
      <c r="H239" s="28">
        <f t="shared" si="124"/>
        <v>550</v>
      </c>
      <c r="I239" s="26">
        <v>0</v>
      </c>
      <c r="J239" s="26">
        <v>0</v>
      </c>
      <c r="K239" s="29">
        <f t="shared" si="117"/>
        <v>550</v>
      </c>
      <c r="L239" s="119">
        <v>650</v>
      </c>
      <c r="M239" s="34">
        <f t="shared" si="125"/>
        <v>100</v>
      </c>
      <c r="N239" s="35">
        <f t="shared" si="126"/>
        <v>1.1818181818181819</v>
      </c>
      <c r="O239" s="34">
        <v>0</v>
      </c>
      <c r="P239" s="35">
        <f t="shared" si="127"/>
        <v>650</v>
      </c>
      <c r="Q239" s="34">
        <v>0</v>
      </c>
      <c r="R239" s="35">
        <v>0</v>
      </c>
      <c r="S239" s="34">
        <f t="shared" si="128"/>
        <v>650</v>
      </c>
      <c r="T239" s="34">
        <v>0</v>
      </c>
      <c r="U239" s="34">
        <v>0</v>
      </c>
      <c r="V239" s="26">
        <f>0-650</f>
        <v>-650</v>
      </c>
      <c r="W239" s="29">
        <f>SUM(S239:V239)</f>
        <v>0</v>
      </c>
      <c r="X239" s="119">
        <v>0</v>
      </c>
      <c r="Y239" s="119">
        <f t="shared" si="129"/>
        <v>0</v>
      </c>
      <c r="Z239" s="215" t="s">
        <v>263</v>
      </c>
    </row>
    <row r="240" spans="1:27" ht="27" customHeight="1" x14ac:dyDescent="0.25">
      <c r="A240" s="32" t="s">
        <v>235</v>
      </c>
      <c r="B240" s="113" t="s">
        <v>350</v>
      </c>
      <c r="C240" s="34"/>
      <c r="D240" s="27"/>
      <c r="E240" s="26"/>
      <c r="F240" s="26"/>
      <c r="G240" s="26"/>
      <c r="H240" s="28"/>
      <c r="I240" s="26"/>
      <c r="J240" s="26"/>
      <c r="K240" s="29"/>
      <c r="L240" s="119">
        <v>0</v>
      </c>
      <c r="M240" s="34"/>
      <c r="N240" s="35"/>
      <c r="O240" s="34"/>
      <c r="P240" s="35"/>
      <c r="Q240" s="34"/>
      <c r="R240" s="35"/>
      <c r="S240" s="34">
        <v>0</v>
      </c>
      <c r="T240" s="34">
        <v>0</v>
      </c>
      <c r="U240" s="34">
        <v>0</v>
      </c>
      <c r="V240" s="26">
        <f>650</f>
        <v>650</v>
      </c>
      <c r="W240" s="29">
        <f>SUM(S240:V240)</f>
        <v>650</v>
      </c>
      <c r="X240" s="119">
        <v>850</v>
      </c>
      <c r="Y240" s="119">
        <f t="shared" si="129"/>
        <v>200</v>
      </c>
      <c r="Z240" s="216">
        <f t="shared" si="130"/>
        <v>1.3076923076923077</v>
      </c>
    </row>
    <row r="241" spans="1:27" ht="15.75" customHeight="1" x14ac:dyDescent="0.25">
      <c r="A241" s="32" t="s">
        <v>340</v>
      </c>
      <c r="B241" s="113"/>
      <c r="C241" s="34"/>
      <c r="D241" s="27"/>
      <c r="E241" s="26"/>
      <c r="F241" s="26"/>
      <c r="G241" s="26"/>
      <c r="H241" s="28"/>
      <c r="I241" s="26"/>
      <c r="J241" s="26"/>
      <c r="K241" s="29"/>
      <c r="L241" s="119">
        <v>0</v>
      </c>
      <c r="M241" s="34"/>
      <c r="N241" s="35"/>
      <c r="O241" s="34"/>
      <c r="P241" s="35"/>
      <c r="Q241" s="34"/>
      <c r="R241" s="35"/>
      <c r="S241" s="34">
        <v>0</v>
      </c>
      <c r="T241" s="34">
        <v>0</v>
      </c>
      <c r="U241" s="34">
        <v>0</v>
      </c>
      <c r="V241" s="26">
        <f>40</f>
        <v>40</v>
      </c>
      <c r="W241" s="29">
        <f>SUM(S241:V241)</f>
        <v>40</v>
      </c>
      <c r="X241" s="119">
        <v>0</v>
      </c>
      <c r="Y241" s="119">
        <f t="shared" si="129"/>
        <v>-40</v>
      </c>
      <c r="Z241" s="216">
        <f t="shared" si="130"/>
        <v>0</v>
      </c>
    </row>
    <row r="242" spans="1:27" ht="15.75" customHeight="1" x14ac:dyDescent="0.25">
      <c r="A242" s="32" t="s">
        <v>341</v>
      </c>
      <c r="B242" s="113"/>
      <c r="C242" s="34"/>
      <c r="D242" s="27"/>
      <c r="E242" s="26"/>
      <c r="F242" s="26"/>
      <c r="G242" s="26"/>
      <c r="H242" s="28"/>
      <c r="I242" s="26"/>
      <c r="J242" s="26"/>
      <c r="K242" s="29"/>
      <c r="L242" s="119">
        <v>0</v>
      </c>
      <c r="M242" s="34"/>
      <c r="N242" s="35"/>
      <c r="O242" s="34"/>
      <c r="P242" s="35"/>
      <c r="Q242" s="34"/>
      <c r="R242" s="35"/>
      <c r="S242" s="34">
        <v>0</v>
      </c>
      <c r="T242" s="34">
        <v>0</v>
      </c>
      <c r="U242" s="34">
        <v>0</v>
      </c>
      <c r="V242" s="26">
        <f>60</f>
        <v>60</v>
      </c>
      <c r="W242" s="29">
        <f>SUM(S242:V242)</f>
        <v>60</v>
      </c>
      <c r="X242" s="119">
        <v>0</v>
      </c>
      <c r="Y242" s="119">
        <f t="shared" si="129"/>
        <v>-60</v>
      </c>
      <c r="Z242" s="216">
        <f t="shared" si="130"/>
        <v>0</v>
      </c>
    </row>
    <row r="243" spans="1:27" ht="27.75" customHeight="1" x14ac:dyDescent="0.25">
      <c r="A243" s="32" t="s">
        <v>236</v>
      </c>
      <c r="B243" s="113"/>
      <c r="C243" s="34">
        <v>240</v>
      </c>
      <c r="D243" s="27">
        <v>0</v>
      </c>
      <c r="E243" s="26">
        <f t="shared" si="123"/>
        <v>240</v>
      </c>
      <c r="F243" s="26">
        <v>0</v>
      </c>
      <c r="G243" s="26">
        <v>0</v>
      </c>
      <c r="H243" s="28">
        <f>SUM(E243:G243)</f>
        <v>240</v>
      </c>
      <c r="I243" s="26">
        <v>0</v>
      </c>
      <c r="J243" s="26">
        <v>0</v>
      </c>
      <c r="K243" s="29">
        <f t="shared" si="117"/>
        <v>240</v>
      </c>
      <c r="L243" s="119">
        <v>240</v>
      </c>
      <c r="M243" s="34">
        <f t="shared" si="125"/>
        <v>0</v>
      </c>
      <c r="N243" s="35">
        <f t="shared" si="126"/>
        <v>1</v>
      </c>
      <c r="O243" s="34">
        <v>0</v>
      </c>
      <c r="P243" s="35">
        <f t="shared" si="127"/>
        <v>240</v>
      </c>
      <c r="Q243" s="34">
        <v>0</v>
      </c>
      <c r="R243" s="35">
        <v>0</v>
      </c>
      <c r="S243" s="34">
        <f t="shared" si="128"/>
        <v>240</v>
      </c>
      <c r="T243" s="34">
        <v>0</v>
      </c>
      <c r="U243" s="34">
        <v>0</v>
      </c>
      <c r="V243" s="26">
        <v>0</v>
      </c>
      <c r="W243" s="29">
        <f t="shared" si="103"/>
        <v>240</v>
      </c>
      <c r="X243" s="119">
        <v>355</v>
      </c>
      <c r="Y243" s="119">
        <f t="shared" si="129"/>
        <v>115</v>
      </c>
      <c r="Z243" s="216">
        <f t="shared" si="130"/>
        <v>1.4791666666666667</v>
      </c>
    </row>
    <row r="244" spans="1:27" ht="15" customHeight="1" x14ac:dyDescent="0.25">
      <c r="A244" s="114" t="s">
        <v>362</v>
      </c>
      <c r="B244" s="113" t="s">
        <v>364</v>
      </c>
      <c r="C244" s="34">
        <v>400</v>
      </c>
      <c r="D244" s="27">
        <v>0</v>
      </c>
      <c r="E244" s="26">
        <f t="shared" si="123"/>
        <v>400</v>
      </c>
      <c r="F244" s="26">
        <v>0</v>
      </c>
      <c r="G244" s="26">
        <v>0</v>
      </c>
      <c r="H244" s="28">
        <f t="shared" ref="H244:H253" si="131">SUM(E244:G244)</f>
        <v>400</v>
      </c>
      <c r="I244" s="26">
        <v>0</v>
      </c>
      <c r="J244" s="26">
        <v>0</v>
      </c>
      <c r="K244" s="29">
        <f t="shared" si="117"/>
        <v>400</v>
      </c>
      <c r="L244" s="119">
        <v>400</v>
      </c>
      <c r="M244" s="34">
        <f t="shared" si="125"/>
        <v>0</v>
      </c>
      <c r="N244" s="35">
        <f t="shared" si="126"/>
        <v>1</v>
      </c>
      <c r="O244" s="34">
        <v>0</v>
      </c>
      <c r="P244" s="35">
        <f t="shared" si="127"/>
        <v>400</v>
      </c>
      <c r="Q244" s="34">
        <v>0</v>
      </c>
      <c r="R244" s="35">
        <v>0</v>
      </c>
      <c r="S244" s="34">
        <f t="shared" si="128"/>
        <v>400</v>
      </c>
      <c r="T244" s="34">
        <v>0</v>
      </c>
      <c r="U244" s="34">
        <v>0</v>
      </c>
      <c r="V244" s="26">
        <v>0</v>
      </c>
      <c r="W244" s="29">
        <f t="shared" ref="W244:W310" si="132">SUM(S244:V244)</f>
        <v>400</v>
      </c>
      <c r="X244" s="119">
        <v>500</v>
      </c>
      <c r="Y244" s="119">
        <f t="shared" si="129"/>
        <v>100</v>
      </c>
      <c r="Z244" s="216">
        <f t="shared" si="130"/>
        <v>1.25</v>
      </c>
    </row>
    <row r="245" spans="1:27" ht="27" customHeight="1" x14ac:dyDescent="0.25">
      <c r="A245" s="32" t="s">
        <v>237</v>
      </c>
      <c r="B245" s="113"/>
      <c r="C245" s="34">
        <v>5</v>
      </c>
      <c r="D245" s="27">
        <v>0</v>
      </c>
      <c r="E245" s="26">
        <f t="shared" si="123"/>
        <v>5</v>
      </c>
      <c r="F245" s="26">
        <v>0</v>
      </c>
      <c r="G245" s="26">
        <v>0</v>
      </c>
      <c r="H245" s="28">
        <f t="shared" si="131"/>
        <v>5</v>
      </c>
      <c r="I245" s="26">
        <v>0</v>
      </c>
      <c r="J245" s="26">
        <v>0</v>
      </c>
      <c r="K245" s="29">
        <f t="shared" si="117"/>
        <v>5</v>
      </c>
      <c r="L245" s="119">
        <v>5</v>
      </c>
      <c r="M245" s="34">
        <f t="shared" si="125"/>
        <v>0</v>
      </c>
      <c r="N245" s="35">
        <f t="shared" si="126"/>
        <v>1</v>
      </c>
      <c r="O245" s="34">
        <v>0</v>
      </c>
      <c r="P245" s="35">
        <f t="shared" si="127"/>
        <v>5</v>
      </c>
      <c r="Q245" s="34">
        <v>0</v>
      </c>
      <c r="R245" s="35">
        <v>0</v>
      </c>
      <c r="S245" s="34">
        <f t="shared" si="128"/>
        <v>5</v>
      </c>
      <c r="T245" s="34">
        <v>0</v>
      </c>
      <c r="U245" s="34">
        <v>0</v>
      </c>
      <c r="V245" s="26">
        <v>0</v>
      </c>
      <c r="W245" s="29">
        <f t="shared" si="132"/>
        <v>5</v>
      </c>
      <c r="X245" s="119">
        <v>0</v>
      </c>
      <c r="Y245" s="119">
        <f t="shared" si="129"/>
        <v>-5</v>
      </c>
      <c r="Z245" s="216">
        <f t="shared" si="130"/>
        <v>0</v>
      </c>
    </row>
    <row r="246" spans="1:27" ht="24" customHeight="1" x14ac:dyDescent="0.25">
      <c r="A246" s="32" t="s">
        <v>238</v>
      </c>
      <c r="B246" s="113"/>
      <c r="C246" s="34">
        <v>70</v>
      </c>
      <c r="D246" s="27">
        <v>0</v>
      </c>
      <c r="E246" s="26">
        <f t="shared" si="123"/>
        <v>70</v>
      </c>
      <c r="F246" s="26">
        <v>0</v>
      </c>
      <c r="G246" s="26">
        <v>0</v>
      </c>
      <c r="H246" s="28">
        <f t="shared" si="131"/>
        <v>70</v>
      </c>
      <c r="I246" s="26">
        <v>0</v>
      </c>
      <c r="J246" s="26">
        <v>0</v>
      </c>
      <c r="K246" s="29">
        <f t="shared" si="117"/>
        <v>70</v>
      </c>
      <c r="L246" s="119">
        <v>70</v>
      </c>
      <c r="M246" s="34">
        <f t="shared" si="125"/>
        <v>0</v>
      </c>
      <c r="N246" s="35">
        <f t="shared" si="126"/>
        <v>1</v>
      </c>
      <c r="O246" s="34">
        <v>0</v>
      </c>
      <c r="P246" s="35">
        <f t="shared" si="127"/>
        <v>70</v>
      </c>
      <c r="Q246" s="34">
        <v>0</v>
      </c>
      <c r="R246" s="35">
        <v>0</v>
      </c>
      <c r="S246" s="34">
        <f t="shared" si="128"/>
        <v>70</v>
      </c>
      <c r="T246" s="34">
        <v>0</v>
      </c>
      <c r="U246" s="34">
        <v>0</v>
      </c>
      <c r="V246" s="26">
        <v>0</v>
      </c>
      <c r="W246" s="29">
        <f t="shared" si="132"/>
        <v>70</v>
      </c>
      <c r="X246" s="119">
        <v>70</v>
      </c>
      <c r="Y246" s="119">
        <f t="shared" si="129"/>
        <v>0</v>
      </c>
      <c r="Z246" s="216">
        <f t="shared" si="130"/>
        <v>1</v>
      </c>
    </row>
    <row r="247" spans="1:27" ht="15" customHeight="1" x14ac:dyDescent="0.25">
      <c r="A247" s="114" t="s">
        <v>239</v>
      </c>
      <c r="B247" s="113"/>
      <c r="C247" s="34">
        <v>300</v>
      </c>
      <c r="D247" s="27">
        <v>0</v>
      </c>
      <c r="E247" s="26">
        <f t="shared" si="123"/>
        <v>300</v>
      </c>
      <c r="F247" s="26">
        <v>0</v>
      </c>
      <c r="G247" s="26">
        <v>0</v>
      </c>
      <c r="H247" s="28">
        <f t="shared" si="131"/>
        <v>300</v>
      </c>
      <c r="I247" s="26">
        <v>0</v>
      </c>
      <c r="J247" s="26">
        <v>0</v>
      </c>
      <c r="K247" s="29">
        <f t="shared" si="117"/>
        <v>300</v>
      </c>
      <c r="L247" s="119">
        <v>300</v>
      </c>
      <c r="M247" s="34">
        <f t="shared" si="125"/>
        <v>0</v>
      </c>
      <c r="N247" s="35">
        <f t="shared" si="126"/>
        <v>1</v>
      </c>
      <c r="O247" s="34">
        <v>0</v>
      </c>
      <c r="P247" s="35">
        <f t="shared" si="127"/>
        <v>300</v>
      </c>
      <c r="Q247" s="34">
        <v>180</v>
      </c>
      <c r="R247" s="35">
        <v>0</v>
      </c>
      <c r="S247" s="34">
        <f t="shared" si="128"/>
        <v>480</v>
      </c>
      <c r="T247" s="34">
        <v>0</v>
      </c>
      <c r="U247" s="34">
        <v>0</v>
      </c>
      <c r="V247" s="26">
        <v>0</v>
      </c>
      <c r="W247" s="29">
        <f t="shared" si="132"/>
        <v>480</v>
      </c>
      <c r="X247" s="119">
        <v>480</v>
      </c>
      <c r="Y247" s="119">
        <f t="shared" si="129"/>
        <v>0</v>
      </c>
      <c r="Z247" s="216">
        <f t="shared" si="130"/>
        <v>1</v>
      </c>
    </row>
    <row r="248" spans="1:27" ht="15" customHeight="1" x14ac:dyDescent="0.25">
      <c r="A248" s="114" t="s">
        <v>240</v>
      </c>
      <c r="B248" s="113"/>
      <c r="C248" s="34">
        <v>2</v>
      </c>
      <c r="D248" s="27">
        <v>0</v>
      </c>
      <c r="E248" s="26">
        <f t="shared" si="123"/>
        <v>2</v>
      </c>
      <c r="F248" s="26">
        <v>0</v>
      </c>
      <c r="G248" s="26">
        <v>0</v>
      </c>
      <c r="H248" s="28">
        <f t="shared" si="131"/>
        <v>2</v>
      </c>
      <c r="I248" s="26">
        <v>0</v>
      </c>
      <c r="J248" s="26">
        <v>0</v>
      </c>
      <c r="K248" s="29">
        <f t="shared" si="117"/>
        <v>2</v>
      </c>
      <c r="L248" s="119">
        <v>2</v>
      </c>
      <c r="M248" s="34">
        <f t="shared" si="125"/>
        <v>0</v>
      </c>
      <c r="N248" s="35">
        <f t="shared" si="126"/>
        <v>1</v>
      </c>
      <c r="O248" s="34">
        <v>0</v>
      </c>
      <c r="P248" s="35">
        <f t="shared" si="127"/>
        <v>2</v>
      </c>
      <c r="Q248" s="34">
        <v>0</v>
      </c>
      <c r="R248" s="35">
        <v>0</v>
      </c>
      <c r="S248" s="34">
        <f t="shared" si="128"/>
        <v>2</v>
      </c>
      <c r="T248" s="34">
        <v>0</v>
      </c>
      <c r="U248" s="34">
        <v>0</v>
      </c>
      <c r="V248" s="26">
        <v>0</v>
      </c>
      <c r="W248" s="29">
        <f t="shared" si="132"/>
        <v>2</v>
      </c>
      <c r="X248" s="119">
        <v>2</v>
      </c>
      <c r="Y248" s="119">
        <f t="shared" si="129"/>
        <v>0</v>
      </c>
      <c r="Z248" s="216">
        <f t="shared" si="130"/>
        <v>1</v>
      </c>
    </row>
    <row r="249" spans="1:27" ht="15" customHeight="1" x14ac:dyDescent="0.25">
      <c r="A249" s="114" t="s">
        <v>241</v>
      </c>
      <c r="B249" s="113"/>
      <c r="C249" s="34">
        <v>188</v>
      </c>
      <c r="D249" s="27">
        <v>0</v>
      </c>
      <c r="E249" s="26">
        <f t="shared" si="123"/>
        <v>188</v>
      </c>
      <c r="F249" s="26">
        <v>0</v>
      </c>
      <c r="G249" s="26">
        <v>0</v>
      </c>
      <c r="H249" s="28">
        <f t="shared" si="131"/>
        <v>188</v>
      </c>
      <c r="I249" s="26">
        <v>0</v>
      </c>
      <c r="J249" s="26">
        <v>0</v>
      </c>
      <c r="K249" s="29">
        <f t="shared" si="117"/>
        <v>188</v>
      </c>
      <c r="L249" s="119">
        <v>188</v>
      </c>
      <c r="M249" s="34">
        <f t="shared" si="125"/>
        <v>0</v>
      </c>
      <c r="N249" s="35">
        <f t="shared" si="126"/>
        <v>1</v>
      </c>
      <c r="O249" s="34">
        <v>0</v>
      </c>
      <c r="P249" s="35">
        <f t="shared" si="127"/>
        <v>188</v>
      </c>
      <c r="Q249" s="34">
        <v>0</v>
      </c>
      <c r="R249" s="35">
        <v>0</v>
      </c>
      <c r="S249" s="34">
        <f t="shared" si="128"/>
        <v>188</v>
      </c>
      <c r="T249" s="34">
        <v>0</v>
      </c>
      <c r="U249" s="34">
        <v>0</v>
      </c>
      <c r="V249" s="26">
        <v>0</v>
      </c>
      <c r="W249" s="29">
        <f t="shared" si="132"/>
        <v>188</v>
      </c>
      <c r="X249" s="119">
        <v>188</v>
      </c>
      <c r="Y249" s="119">
        <f t="shared" si="129"/>
        <v>0</v>
      </c>
      <c r="Z249" s="216">
        <f t="shared" si="130"/>
        <v>1</v>
      </c>
    </row>
    <row r="250" spans="1:27" ht="15" customHeight="1" x14ac:dyDescent="0.25">
      <c r="A250" s="114" t="s">
        <v>242</v>
      </c>
      <c r="B250" s="113"/>
      <c r="C250" s="34">
        <v>15</v>
      </c>
      <c r="D250" s="27">
        <v>0</v>
      </c>
      <c r="E250" s="26">
        <f t="shared" si="123"/>
        <v>15</v>
      </c>
      <c r="F250" s="26">
        <v>0</v>
      </c>
      <c r="G250" s="26">
        <v>0</v>
      </c>
      <c r="H250" s="28">
        <f t="shared" si="131"/>
        <v>15</v>
      </c>
      <c r="I250" s="26">
        <v>0</v>
      </c>
      <c r="J250" s="26">
        <v>0</v>
      </c>
      <c r="K250" s="29">
        <f t="shared" si="117"/>
        <v>15</v>
      </c>
      <c r="L250" s="119">
        <v>15</v>
      </c>
      <c r="M250" s="34">
        <f t="shared" si="125"/>
        <v>0</v>
      </c>
      <c r="N250" s="35">
        <f t="shared" si="126"/>
        <v>1</v>
      </c>
      <c r="O250" s="34">
        <v>0</v>
      </c>
      <c r="P250" s="35">
        <f t="shared" si="127"/>
        <v>15</v>
      </c>
      <c r="Q250" s="34">
        <v>0</v>
      </c>
      <c r="R250" s="35">
        <v>0</v>
      </c>
      <c r="S250" s="34">
        <f t="shared" si="128"/>
        <v>15</v>
      </c>
      <c r="T250" s="34">
        <v>0</v>
      </c>
      <c r="U250" s="34">
        <v>0</v>
      </c>
      <c r="V250" s="26">
        <v>0</v>
      </c>
      <c r="W250" s="29">
        <f t="shared" si="132"/>
        <v>15</v>
      </c>
      <c r="X250" s="119">
        <v>15</v>
      </c>
      <c r="Y250" s="119">
        <f t="shared" si="129"/>
        <v>0</v>
      </c>
      <c r="Z250" s="216">
        <f t="shared" si="130"/>
        <v>1</v>
      </c>
    </row>
    <row r="251" spans="1:27" ht="28.5" customHeight="1" x14ac:dyDescent="0.25">
      <c r="A251" s="32" t="s">
        <v>363</v>
      </c>
      <c r="B251" s="113"/>
      <c r="C251" s="34"/>
      <c r="D251" s="27"/>
      <c r="E251" s="26"/>
      <c r="F251" s="26"/>
      <c r="G251" s="26"/>
      <c r="H251" s="28"/>
      <c r="I251" s="26"/>
      <c r="J251" s="26"/>
      <c r="K251" s="29"/>
      <c r="L251" s="119">
        <v>0</v>
      </c>
      <c r="M251" s="34"/>
      <c r="N251" s="35"/>
      <c r="O251" s="34"/>
      <c r="P251" s="35"/>
      <c r="Q251" s="34"/>
      <c r="R251" s="35"/>
      <c r="S251" s="34"/>
      <c r="T251" s="34"/>
      <c r="U251" s="34"/>
      <c r="V251" s="26"/>
      <c r="W251" s="29">
        <v>0</v>
      </c>
      <c r="X251" s="119">
        <v>50</v>
      </c>
      <c r="Y251" s="119">
        <f t="shared" si="129"/>
        <v>50</v>
      </c>
      <c r="Z251" s="215" t="s">
        <v>263</v>
      </c>
    </row>
    <row r="252" spans="1:27" ht="27" customHeight="1" x14ac:dyDescent="0.25">
      <c r="A252" s="32" t="s">
        <v>365</v>
      </c>
      <c r="B252" s="113"/>
      <c r="C252" s="34"/>
      <c r="D252" s="27"/>
      <c r="E252" s="26"/>
      <c r="F252" s="26"/>
      <c r="G252" s="26"/>
      <c r="H252" s="28"/>
      <c r="I252" s="26"/>
      <c r="J252" s="26"/>
      <c r="K252" s="29"/>
      <c r="L252" s="119">
        <v>0</v>
      </c>
      <c r="M252" s="34"/>
      <c r="N252" s="35"/>
      <c r="O252" s="34"/>
      <c r="P252" s="35"/>
      <c r="Q252" s="34"/>
      <c r="R252" s="35"/>
      <c r="S252" s="34"/>
      <c r="T252" s="34"/>
      <c r="U252" s="34"/>
      <c r="V252" s="26"/>
      <c r="W252" s="29">
        <v>0</v>
      </c>
      <c r="X252" s="119">
        <v>30</v>
      </c>
      <c r="Y252" s="119">
        <f t="shared" si="129"/>
        <v>30</v>
      </c>
      <c r="Z252" s="215" t="s">
        <v>263</v>
      </c>
    </row>
    <row r="253" spans="1:27" ht="15" customHeight="1" x14ac:dyDescent="0.25">
      <c r="A253" s="32" t="s">
        <v>243</v>
      </c>
      <c r="B253" s="113"/>
      <c r="C253" s="34">
        <v>500</v>
      </c>
      <c r="D253" s="27">
        <v>0</v>
      </c>
      <c r="E253" s="26">
        <f t="shared" si="123"/>
        <v>500</v>
      </c>
      <c r="F253" s="26">
        <v>700</v>
      </c>
      <c r="G253" s="26">
        <v>0</v>
      </c>
      <c r="H253" s="28">
        <f t="shared" si="131"/>
        <v>1200</v>
      </c>
      <c r="I253" s="26">
        <v>-200</v>
      </c>
      <c r="J253" s="26">
        <v>0</v>
      </c>
      <c r="K253" s="29">
        <f t="shared" si="117"/>
        <v>1000</v>
      </c>
      <c r="L253" s="119">
        <v>500</v>
      </c>
      <c r="M253" s="34">
        <f t="shared" si="125"/>
        <v>-500</v>
      </c>
      <c r="N253" s="35">
        <f t="shared" si="126"/>
        <v>0.5</v>
      </c>
      <c r="O253" s="34">
        <v>0</v>
      </c>
      <c r="P253" s="35">
        <f t="shared" si="127"/>
        <v>500</v>
      </c>
      <c r="Q253" s="34">
        <v>10</v>
      </c>
      <c r="R253" s="35">
        <v>0</v>
      </c>
      <c r="S253" s="34">
        <f t="shared" si="128"/>
        <v>510</v>
      </c>
      <c r="T253" s="34">
        <v>0</v>
      </c>
      <c r="U253" s="34">
        <v>0</v>
      </c>
      <c r="V253" s="26">
        <v>0</v>
      </c>
      <c r="W253" s="29">
        <f t="shared" si="132"/>
        <v>510</v>
      </c>
      <c r="X253" s="119">
        <v>600</v>
      </c>
      <c r="Y253" s="119">
        <f t="shared" si="129"/>
        <v>90</v>
      </c>
      <c r="Z253" s="216">
        <f t="shared" si="130"/>
        <v>1.1764705882352942</v>
      </c>
    </row>
    <row r="254" spans="1:27" ht="27.75" customHeight="1" x14ac:dyDescent="0.25">
      <c r="A254" s="32" t="s">
        <v>342</v>
      </c>
      <c r="B254" s="113"/>
      <c r="C254" s="34"/>
      <c r="D254" s="91"/>
      <c r="E254" s="34"/>
      <c r="F254" s="34"/>
      <c r="G254" s="34"/>
      <c r="H254" s="35"/>
      <c r="I254" s="34"/>
      <c r="J254" s="34"/>
      <c r="K254" s="93"/>
      <c r="L254" s="119">
        <v>0</v>
      </c>
      <c r="M254" s="34"/>
      <c r="N254" s="35"/>
      <c r="O254" s="34"/>
      <c r="P254" s="35"/>
      <c r="Q254" s="34"/>
      <c r="R254" s="35"/>
      <c r="S254" s="34">
        <v>0</v>
      </c>
      <c r="T254" s="34">
        <v>0</v>
      </c>
      <c r="U254" s="34">
        <v>0</v>
      </c>
      <c r="V254" s="34">
        <f>200</f>
        <v>200</v>
      </c>
      <c r="W254" s="93">
        <f>SUM(S254:V254)</f>
        <v>200</v>
      </c>
      <c r="X254" s="119">
        <v>0</v>
      </c>
      <c r="Y254" s="119">
        <f t="shared" si="129"/>
        <v>-200</v>
      </c>
      <c r="Z254" s="216">
        <f t="shared" si="130"/>
        <v>0</v>
      </c>
    </row>
    <row r="255" spans="1:27" ht="27.75" customHeight="1" thickBot="1" x14ac:dyDescent="0.3">
      <c r="A255" s="49" t="s">
        <v>244</v>
      </c>
      <c r="B255" s="95"/>
      <c r="C255" s="40">
        <v>6059.28</v>
      </c>
      <c r="D255" s="39">
        <v>0</v>
      </c>
      <c r="E255" s="40">
        <f t="shared" si="123"/>
        <v>6059.28</v>
      </c>
      <c r="F255" s="40">
        <v>1023.68</v>
      </c>
      <c r="G255" s="40">
        <f>-27+119.3</f>
        <v>92.3</v>
      </c>
      <c r="H255" s="41">
        <f>SUM(E255:G255)+69.7</f>
        <v>7244.96</v>
      </c>
      <c r="I255" s="40">
        <v>0</v>
      </c>
      <c r="J255" s="40">
        <f>326.7+121+204.9-302.5</f>
        <v>350.1</v>
      </c>
      <c r="K255" s="194">
        <f t="shared" si="117"/>
        <v>7595.06</v>
      </c>
      <c r="L255" s="126">
        <v>6873.61</v>
      </c>
      <c r="M255" s="40">
        <f t="shared" si="125"/>
        <v>-721.45000000000073</v>
      </c>
      <c r="N255" s="41">
        <f t="shared" si="126"/>
        <v>0.90501062532751542</v>
      </c>
      <c r="O255" s="40">
        <f>-146.41</f>
        <v>-146.41</v>
      </c>
      <c r="P255" s="41">
        <f>L255+O255-40</f>
        <v>6687.2</v>
      </c>
      <c r="Q255" s="40">
        <v>597.23</v>
      </c>
      <c r="R255" s="41">
        <v>0</v>
      </c>
      <c r="S255" s="40">
        <f>SUM(P255:R255)</f>
        <v>7284.43</v>
      </c>
      <c r="T255" s="40">
        <v>75.400000000000006</v>
      </c>
      <c r="U255" s="40">
        <v>0</v>
      </c>
      <c r="V255" s="40">
        <v>0</v>
      </c>
      <c r="W255" s="194">
        <f t="shared" si="132"/>
        <v>7359.83</v>
      </c>
      <c r="X255" s="126">
        <v>6334.24</v>
      </c>
      <c r="Y255" s="119">
        <f t="shared" si="129"/>
        <v>-1025.5900000000001</v>
      </c>
      <c r="Z255" s="216">
        <f t="shared" si="130"/>
        <v>0.86065031393388158</v>
      </c>
    </row>
    <row r="256" spans="1:27" ht="16.350000000000001" customHeight="1" thickBot="1" x14ac:dyDescent="0.3">
      <c r="A256" s="116" t="s">
        <v>245</v>
      </c>
      <c r="B256" s="109"/>
      <c r="C256" s="84">
        <f>SUM(C258:C260)</f>
        <v>51889</v>
      </c>
      <c r="D256" s="85">
        <f>SUM(D258:D260)</f>
        <v>0</v>
      </c>
      <c r="E256" s="84">
        <f>SUM(C256:D256)</f>
        <v>51889</v>
      </c>
      <c r="F256" s="84">
        <f>SUM(F258:F260)</f>
        <v>0</v>
      </c>
      <c r="G256" s="84">
        <f>SUM(G258:G260)</f>
        <v>0</v>
      </c>
      <c r="H256" s="86">
        <f>SUM(H258:H260)</f>
        <v>51889</v>
      </c>
      <c r="I256" s="84">
        <f>SUM(I258:I260)</f>
        <v>0</v>
      </c>
      <c r="J256" s="84">
        <f>SUM(J258:J260)</f>
        <v>0</v>
      </c>
      <c r="K256" s="87">
        <f t="shared" si="117"/>
        <v>51889</v>
      </c>
      <c r="L256" s="84">
        <f t="shared" ref="L256" si="133">SUM(L258:L260)</f>
        <v>54002</v>
      </c>
      <c r="M256" s="84">
        <f>SUM(M258:M260)</f>
        <v>2113</v>
      </c>
      <c r="N256" s="86">
        <f>L256/K256</f>
        <v>1.0407215402108347</v>
      </c>
      <c r="O256" s="84">
        <f t="shared" ref="O256:T256" si="134">SUM(O258:O260)</f>
        <v>0</v>
      </c>
      <c r="P256" s="87">
        <f t="shared" si="134"/>
        <v>54002</v>
      </c>
      <c r="Q256" s="84">
        <f t="shared" si="134"/>
        <v>1088</v>
      </c>
      <c r="R256" s="86">
        <f t="shared" si="134"/>
        <v>-52.1</v>
      </c>
      <c r="S256" s="84">
        <f t="shared" si="134"/>
        <v>55037.9</v>
      </c>
      <c r="T256" s="84">
        <f t="shared" si="134"/>
        <v>0</v>
      </c>
      <c r="U256" s="84">
        <f>SUM(U258:U260)</f>
        <v>0</v>
      </c>
      <c r="V256" s="84">
        <f>SUM(V258:V260)</f>
        <v>0</v>
      </c>
      <c r="W256" s="87">
        <f t="shared" si="132"/>
        <v>55037.9</v>
      </c>
      <c r="X256" s="84">
        <f t="shared" ref="X256" si="135">SUM(X258:X260)</f>
        <v>59013</v>
      </c>
      <c r="Y256" s="84">
        <f>X256-W256</f>
        <v>3975.0999999999985</v>
      </c>
      <c r="Z256" s="211">
        <f>X256/W256</f>
        <v>1.0722247760179804</v>
      </c>
      <c r="AA256" s="191"/>
    </row>
    <row r="257" spans="1:27" ht="13.5" customHeight="1" x14ac:dyDescent="0.25">
      <c r="A257" s="117" t="s">
        <v>47</v>
      </c>
      <c r="B257" s="103"/>
      <c r="C257" s="26"/>
      <c r="D257" s="27"/>
      <c r="E257" s="26"/>
      <c r="F257" s="26"/>
      <c r="G257" s="26"/>
      <c r="H257" s="28"/>
      <c r="I257" s="26"/>
      <c r="J257" s="26"/>
      <c r="K257" s="29"/>
      <c r="L257" s="125"/>
      <c r="M257" s="26"/>
      <c r="N257" s="28"/>
      <c r="O257" s="26"/>
      <c r="P257" s="28"/>
      <c r="Q257" s="26"/>
      <c r="R257" s="28"/>
      <c r="S257" s="26"/>
      <c r="T257" s="26"/>
      <c r="U257" s="26"/>
      <c r="V257" s="26"/>
      <c r="W257" s="29"/>
      <c r="X257" s="125"/>
      <c r="Y257" s="125"/>
      <c r="Z257" s="214"/>
    </row>
    <row r="258" spans="1:27" ht="15" customHeight="1" x14ac:dyDescent="0.25">
      <c r="A258" s="114" t="s">
        <v>246</v>
      </c>
      <c r="B258" s="90"/>
      <c r="C258" s="34">
        <v>0</v>
      </c>
      <c r="D258" s="27">
        <v>0</v>
      </c>
      <c r="E258" s="59">
        <f>SUM(C258:D258)</f>
        <v>0</v>
      </c>
      <c r="F258" s="59">
        <v>0</v>
      </c>
      <c r="G258" s="59">
        <v>0</v>
      </c>
      <c r="H258" s="60">
        <f>SUM(E258:G258)</f>
        <v>0</v>
      </c>
      <c r="I258" s="59">
        <v>0</v>
      </c>
      <c r="J258" s="59">
        <v>0</v>
      </c>
      <c r="K258" s="29">
        <f t="shared" si="117"/>
        <v>0</v>
      </c>
      <c r="L258" s="119">
        <v>0</v>
      </c>
      <c r="M258" s="34">
        <f>L258-K258</f>
        <v>0</v>
      </c>
      <c r="N258" s="35"/>
      <c r="O258" s="34">
        <v>0</v>
      </c>
      <c r="P258" s="35">
        <f>L258+O258</f>
        <v>0</v>
      </c>
      <c r="Q258" s="34">
        <v>0</v>
      </c>
      <c r="R258" s="35">
        <v>0</v>
      </c>
      <c r="S258" s="34">
        <f>SUM(P258:R258)</f>
        <v>0</v>
      </c>
      <c r="T258" s="34">
        <v>0</v>
      </c>
      <c r="U258" s="34">
        <v>0</v>
      </c>
      <c r="V258" s="26">
        <v>0</v>
      </c>
      <c r="W258" s="29">
        <f t="shared" si="132"/>
        <v>0</v>
      </c>
      <c r="X258" s="192" t="s">
        <v>263</v>
      </c>
      <c r="Y258" s="192" t="s">
        <v>263</v>
      </c>
      <c r="Z258" s="215" t="s">
        <v>263</v>
      </c>
    </row>
    <row r="259" spans="1:27" ht="16.5" customHeight="1" x14ac:dyDescent="0.25">
      <c r="A259" s="114" t="s">
        <v>67</v>
      </c>
      <c r="B259" s="90"/>
      <c r="C259" s="34">
        <v>250</v>
      </c>
      <c r="D259" s="27">
        <v>0</v>
      </c>
      <c r="E259" s="59">
        <f t="shared" ref="E259:E260" si="136">SUM(C259:D259)</f>
        <v>250</v>
      </c>
      <c r="F259" s="59">
        <v>0</v>
      </c>
      <c r="G259" s="59">
        <v>0</v>
      </c>
      <c r="H259" s="60">
        <f t="shared" ref="H259:H260" si="137">SUM(E259:G259)</f>
        <v>250</v>
      </c>
      <c r="I259" s="59">
        <v>0</v>
      </c>
      <c r="J259" s="59">
        <v>0</v>
      </c>
      <c r="K259" s="29">
        <f t="shared" si="117"/>
        <v>250</v>
      </c>
      <c r="L259" s="119">
        <v>230</v>
      </c>
      <c r="M259" s="34">
        <f t="shared" ref="M259:M260" si="138">L259-K259</f>
        <v>-20</v>
      </c>
      <c r="N259" s="35">
        <f t="shared" ref="N259:N260" si="139">L259/K259</f>
        <v>0.92</v>
      </c>
      <c r="O259" s="34">
        <v>0</v>
      </c>
      <c r="P259" s="35">
        <f t="shared" ref="P259:P260" si="140">L259+O259</f>
        <v>230</v>
      </c>
      <c r="Q259" s="34">
        <v>0</v>
      </c>
      <c r="R259" s="35">
        <f>2.9</f>
        <v>2.9</v>
      </c>
      <c r="S259" s="34">
        <f t="shared" ref="S259:S260" si="141">SUM(P259:R259)</f>
        <v>232.9</v>
      </c>
      <c r="T259" s="34">
        <v>0</v>
      </c>
      <c r="U259" s="34">
        <v>0</v>
      </c>
      <c r="V259" s="26">
        <v>0</v>
      </c>
      <c r="W259" s="29">
        <f t="shared" si="132"/>
        <v>232.9</v>
      </c>
      <c r="X259" s="119">
        <v>300</v>
      </c>
      <c r="Y259" s="119">
        <f>X259-W259</f>
        <v>67.099999999999994</v>
      </c>
      <c r="Z259" s="216">
        <f>X259/W259</f>
        <v>1.2881064834693001</v>
      </c>
    </row>
    <row r="260" spans="1:27" ht="15.75" customHeight="1" thickBot="1" x14ac:dyDescent="0.3">
      <c r="A260" s="115" t="s">
        <v>247</v>
      </c>
      <c r="B260" s="102"/>
      <c r="C260" s="38">
        <v>51639</v>
      </c>
      <c r="D260" s="99">
        <v>0</v>
      </c>
      <c r="E260" s="62">
        <f t="shared" si="136"/>
        <v>51639</v>
      </c>
      <c r="F260" s="62">
        <v>0</v>
      </c>
      <c r="G260" s="62">
        <v>0</v>
      </c>
      <c r="H260" s="100">
        <f t="shared" si="137"/>
        <v>51639</v>
      </c>
      <c r="I260" s="62">
        <v>0</v>
      </c>
      <c r="J260" s="62">
        <v>0</v>
      </c>
      <c r="K260" s="101">
        <f t="shared" si="117"/>
        <v>51639</v>
      </c>
      <c r="L260" s="124">
        <v>53772</v>
      </c>
      <c r="M260" s="38">
        <f t="shared" si="138"/>
        <v>2133</v>
      </c>
      <c r="N260" s="42">
        <f t="shared" si="139"/>
        <v>1.0413059896589787</v>
      </c>
      <c r="O260" s="38">
        <v>0</v>
      </c>
      <c r="P260" s="42">
        <f t="shared" si="140"/>
        <v>53772</v>
      </c>
      <c r="Q260" s="38">
        <v>1088</v>
      </c>
      <c r="R260" s="42">
        <f>-51-4</f>
        <v>-55</v>
      </c>
      <c r="S260" s="38">
        <f t="shared" si="141"/>
        <v>54805</v>
      </c>
      <c r="T260" s="38">
        <v>0</v>
      </c>
      <c r="U260" s="38">
        <v>0</v>
      </c>
      <c r="V260" s="40">
        <v>0</v>
      </c>
      <c r="W260" s="194">
        <f t="shared" si="132"/>
        <v>54805</v>
      </c>
      <c r="X260" s="124">
        <v>58713</v>
      </c>
      <c r="Y260" s="119">
        <f>X260-W260</f>
        <v>3908</v>
      </c>
      <c r="Z260" s="216">
        <f>X260/W260</f>
        <v>1.0713073624669283</v>
      </c>
    </row>
    <row r="261" spans="1:27" ht="14.25" customHeight="1" thickBot="1" x14ac:dyDescent="0.3">
      <c r="A261" s="116" t="s">
        <v>248</v>
      </c>
      <c r="B261" s="109"/>
      <c r="C261" s="84">
        <f>SUM(C263:C265)</f>
        <v>15232</v>
      </c>
      <c r="D261" s="85">
        <f>SUM(D263:D265)</f>
        <v>595</v>
      </c>
      <c r="E261" s="84">
        <f>SUM(C261:D261)</f>
        <v>15827</v>
      </c>
      <c r="F261" s="84">
        <f>SUM(F263:F265)</f>
        <v>1028</v>
      </c>
      <c r="G261" s="84">
        <f>SUM(G263:G265)</f>
        <v>169.99</v>
      </c>
      <c r="H261" s="86">
        <f>SUM(H263:H265)</f>
        <v>17024.990000000002</v>
      </c>
      <c r="I261" s="84">
        <f>SUM(I263:I265)</f>
        <v>0</v>
      </c>
      <c r="J261" s="84">
        <f>SUM(J263:J265)</f>
        <v>1106.7</v>
      </c>
      <c r="K261" s="87">
        <f t="shared" si="117"/>
        <v>18131.690000000002</v>
      </c>
      <c r="L261" s="84">
        <f t="shared" ref="L261" si="142">SUM(L263:L265)</f>
        <v>23337</v>
      </c>
      <c r="M261" s="84">
        <f>SUM(M263:M265)</f>
        <v>5205.3099999999995</v>
      </c>
      <c r="N261" s="86">
        <f>L261/K261</f>
        <v>1.2870835537117609</v>
      </c>
      <c r="O261" s="84">
        <f t="shared" ref="O261:T261" si="143">SUM(O263:O265)</f>
        <v>0</v>
      </c>
      <c r="P261" s="87">
        <f t="shared" si="143"/>
        <v>23339.84</v>
      </c>
      <c r="Q261" s="84">
        <f t="shared" si="143"/>
        <v>2706</v>
      </c>
      <c r="R261" s="86">
        <f t="shared" si="143"/>
        <v>117.61000000000001</v>
      </c>
      <c r="S261" s="84">
        <f t="shared" si="143"/>
        <v>26237.45</v>
      </c>
      <c r="T261" s="84">
        <f t="shared" si="143"/>
        <v>98</v>
      </c>
      <c r="U261" s="84">
        <f>SUM(U263:U265)</f>
        <v>0</v>
      </c>
      <c r="V261" s="84">
        <f>SUM(V263:V265)</f>
        <v>-239</v>
      </c>
      <c r="W261" s="87">
        <f t="shared" si="132"/>
        <v>26096.45</v>
      </c>
      <c r="X261" s="84">
        <f t="shared" ref="X261" si="144">SUM(X263:X265)</f>
        <v>27507</v>
      </c>
      <c r="Y261" s="84">
        <f>X261-W261</f>
        <v>1410.5499999999993</v>
      </c>
      <c r="Z261" s="211">
        <f>X261/W261</f>
        <v>1.0540514131232408</v>
      </c>
      <c r="AA261" s="191"/>
    </row>
    <row r="262" spans="1:27" ht="15" customHeight="1" x14ac:dyDescent="0.25">
      <c r="A262" s="117" t="s">
        <v>47</v>
      </c>
      <c r="B262" s="103"/>
      <c r="C262" s="26"/>
      <c r="D262" s="27"/>
      <c r="E262" s="26"/>
      <c r="F262" s="26"/>
      <c r="G262" s="26"/>
      <c r="H262" s="28"/>
      <c r="I262" s="26"/>
      <c r="J262" s="26"/>
      <c r="K262" s="29"/>
      <c r="L262" s="125"/>
      <c r="M262" s="26"/>
      <c r="N262" s="28"/>
      <c r="O262" s="26"/>
      <c r="P262" s="28"/>
      <c r="Q262" s="26"/>
      <c r="R262" s="28"/>
      <c r="S262" s="26"/>
      <c r="T262" s="26"/>
      <c r="U262" s="26"/>
      <c r="V262" s="26"/>
      <c r="W262" s="29"/>
      <c r="X262" s="125"/>
      <c r="Y262" s="125"/>
      <c r="Z262" s="214"/>
    </row>
    <row r="263" spans="1:27" ht="26.25" customHeight="1" x14ac:dyDescent="0.25">
      <c r="A263" s="32" t="s">
        <v>249</v>
      </c>
      <c r="B263" s="90"/>
      <c r="C263" s="34">
        <v>0</v>
      </c>
      <c r="D263" s="27">
        <v>0</v>
      </c>
      <c r="E263" s="26">
        <f>SUM(C263:D263)</f>
        <v>0</v>
      </c>
      <c r="F263" s="26">
        <v>0</v>
      </c>
      <c r="G263" s="26">
        <f>72.6</f>
        <v>72.599999999999994</v>
      </c>
      <c r="H263" s="28">
        <f>SUM(E263:G263)</f>
        <v>72.599999999999994</v>
      </c>
      <c r="I263" s="26">
        <v>0</v>
      </c>
      <c r="J263" s="26">
        <v>0</v>
      </c>
      <c r="K263" s="29">
        <f>SUM(H263:J263)</f>
        <v>72.599999999999994</v>
      </c>
      <c r="L263" s="119">
        <v>0</v>
      </c>
      <c r="M263" s="34">
        <f>L263-K263</f>
        <v>-72.599999999999994</v>
      </c>
      <c r="N263" s="35">
        <f>L263/K263</f>
        <v>0</v>
      </c>
      <c r="O263" s="34">
        <v>0</v>
      </c>
      <c r="P263" s="35">
        <f>L263+O263</f>
        <v>0</v>
      </c>
      <c r="Q263" s="34">
        <v>0</v>
      </c>
      <c r="R263" s="35">
        <v>0</v>
      </c>
      <c r="S263" s="34">
        <f>SUM(P263:R263)+72.6</f>
        <v>72.599999999999994</v>
      </c>
      <c r="T263" s="34">
        <v>0</v>
      </c>
      <c r="U263" s="34">
        <v>0</v>
      </c>
      <c r="V263" s="26">
        <v>0</v>
      </c>
      <c r="W263" s="29">
        <f t="shared" si="132"/>
        <v>72.599999999999994</v>
      </c>
      <c r="X263" s="192" t="s">
        <v>263</v>
      </c>
      <c r="Y263" s="192" t="s">
        <v>263</v>
      </c>
      <c r="Z263" s="215" t="s">
        <v>263</v>
      </c>
    </row>
    <row r="264" spans="1:27" ht="15" customHeight="1" x14ac:dyDescent="0.25">
      <c r="A264" s="32" t="s">
        <v>67</v>
      </c>
      <c r="B264" s="90"/>
      <c r="C264" s="34">
        <v>200</v>
      </c>
      <c r="D264" s="27">
        <v>0</v>
      </c>
      <c r="E264" s="26">
        <f t="shared" ref="E264:E265" si="145">SUM(C264:D264)</f>
        <v>200</v>
      </c>
      <c r="F264" s="26">
        <v>0</v>
      </c>
      <c r="G264" s="26">
        <f>2.39</f>
        <v>2.39</v>
      </c>
      <c r="H264" s="28">
        <f t="shared" ref="H264:H265" si="146">SUM(E264:G264)</f>
        <v>202.39</v>
      </c>
      <c r="I264" s="26">
        <v>0</v>
      </c>
      <c r="J264" s="26">
        <v>0</v>
      </c>
      <c r="K264" s="29">
        <f t="shared" si="117"/>
        <v>202.39</v>
      </c>
      <c r="L264" s="119">
        <v>100</v>
      </c>
      <c r="M264" s="34">
        <f t="shared" ref="M264:M265" si="147">L264-K264</f>
        <v>-102.38999999999999</v>
      </c>
      <c r="N264" s="35">
        <f t="shared" ref="N264:N265" si="148">L264/K264</f>
        <v>0.49409555808093286</v>
      </c>
      <c r="O264" s="34">
        <v>0</v>
      </c>
      <c r="P264" s="35">
        <f>L264+O264+2.84</f>
        <v>102.84</v>
      </c>
      <c r="Q264" s="34">
        <v>0</v>
      </c>
      <c r="R264" s="35">
        <f>1.2</f>
        <v>1.2</v>
      </c>
      <c r="S264" s="34">
        <f>SUM(P264:R264)+1.4</f>
        <v>105.44000000000001</v>
      </c>
      <c r="T264" s="34">
        <v>0</v>
      </c>
      <c r="U264" s="34">
        <v>0</v>
      </c>
      <c r="V264" s="26">
        <v>0</v>
      </c>
      <c r="W264" s="29">
        <f t="shared" si="132"/>
        <v>105.44000000000001</v>
      </c>
      <c r="X264" s="119">
        <v>100</v>
      </c>
      <c r="Y264" s="119">
        <f>X264-W264</f>
        <v>-5.4400000000000119</v>
      </c>
      <c r="Z264" s="216">
        <f>X264/W264</f>
        <v>0.9484066767830045</v>
      </c>
    </row>
    <row r="265" spans="1:27" ht="16.5" customHeight="1" thickBot="1" x14ac:dyDescent="0.3">
      <c r="A265" s="36" t="s">
        <v>250</v>
      </c>
      <c r="B265" s="102"/>
      <c r="C265" s="38">
        <v>15032</v>
      </c>
      <c r="D265" s="99">
        <f>-205+800</f>
        <v>595</v>
      </c>
      <c r="E265" s="38">
        <f t="shared" si="145"/>
        <v>15627</v>
      </c>
      <c r="F265" s="38">
        <v>1028</v>
      </c>
      <c r="G265" s="38">
        <f>-54+149</f>
        <v>95</v>
      </c>
      <c r="H265" s="42">
        <f t="shared" si="146"/>
        <v>16750</v>
      </c>
      <c r="I265" s="38">
        <v>0</v>
      </c>
      <c r="J265" s="38">
        <f>-54.3+21+50+1090</f>
        <v>1106.7</v>
      </c>
      <c r="K265" s="101">
        <f t="shared" si="117"/>
        <v>17856.7</v>
      </c>
      <c r="L265" s="124">
        <v>23237</v>
      </c>
      <c r="M265" s="38">
        <f t="shared" si="147"/>
        <v>5380.2999999999993</v>
      </c>
      <c r="N265" s="42">
        <f t="shared" si="148"/>
        <v>1.301304272345954</v>
      </c>
      <c r="O265" s="38">
        <v>0</v>
      </c>
      <c r="P265" s="42">
        <f t="shared" ref="P265" si="149">L265+O265</f>
        <v>23237</v>
      </c>
      <c r="Q265" s="38">
        <v>2706</v>
      </c>
      <c r="R265" s="42">
        <f>-1.6+118.01</f>
        <v>116.41000000000001</v>
      </c>
      <c r="S265" s="38">
        <f t="shared" ref="S265" si="150">SUM(P265:R265)</f>
        <v>26059.41</v>
      </c>
      <c r="T265" s="38">
        <v>98</v>
      </c>
      <c r="U265" s="38">
        <v>0</v>
      </c>
      <c r="V265" s="38">
        <f>-239</f>
        <v>-239</v>
      </c>
      <c r="W265" s="101">
        <f t="shared" si="132"/>
        <v>25918.41</v>
      </c>
      <c r="X265" s="124">
        <v>27407</v>
      </c>
      <c r="Y265" s="119">
        <f>X265-W265</f>
        <v>1488.5900000000001</v>
      </c>
      <c r="Z265" s="216">
        <f>X265/W265</f>
        <v>1.0574336928847101</v>
      </c>
    </row>
    <row r="266" spans="1:27" ht="15.75" customHeight="1" thickBot="1" x14ac:dyDescent="0.3">
      <c r="A266" s="130" t="s">
        <v>251</v>
      </c>
      <c r="B266" s="109"/>
      <c r="C266" s="84">
        <f>SUM(C268:C271)</f>
        <v>6785</v>
      </c>
      <c r="D266" s="85">
        <f>SUM(D268:D271)</f>
        <v>0</v>
      </c>
      <c r="E266" s="84">
        <f>SUM(C266:D266)</f>
        <v>6785</v>
      </c>
      <c r="F266" s="84">
        <f>SUM(F268:F271)</f>
        <v>9000</v>
      </c>
      <c r="G266" s="84">
        <f>SUM(G268:G271)</f>
        <v>1155.45</v>
      </c>
      <c r="H266" s="86">
        <f>SUM(H268:H271)</f>
        <v>16990.45</v>
      </c>
      <c r="I266" s="84">
        <f>SUM(I268:I271)</f>
        <v>-695</v>
      </c>
      <c r="J266" s="84">
        <f>SUM(J268:J271)</f>
        <v>6767.9600000000009</v>
      </c>
      <c r="K266" s="87">
        <f t="shared" si="117"/>
        <v>23063.410000000003</v>
      </c>
      <c r="L266" s="84">
        <f>SUM(L268:L271)</f>
        <v>7409</v>
      </c>
      <c r="M266" s="84">
        <f>SUM(M268:M271)</f>
        <v>-15654.41</v>
      </c>
      <c r="N266" s="86">
        <f>L266/K266</f>
        <v>0.32124477689985992</v>
      </c>
      <c r="O266" s="84">
        <f t="shared" ref="O266:T266" si="151">SUM(O268:O271)</f>
        <v>1440.6</v>
      </c>
      <c r="P266" s="87">
        <f t="shared" si="151"/>
        <v>8849.6</v>
      </c>
      <c r="Q266" s="84">
        <f t="shared" si="151"/>
        <v>0</v>
      </c>
      <c r="R266" s="86">
        <f t="shared" si="151"/>
        <v>379</v>
      </c>
      <c r="S266" s="84">
        <f t="shared" si="151"/>
        <v>9248.6</v>
      </c>
      <c r="T266" s="84">
        <f t="shared" si="151"/>
        <v>0</v>
      </c>
      <c r="U266" s="84">
        <f>SUM(U268:U271)</f>
        <v>0</v>
      </c>
      <c r="V266" s="84">
        <f>SUM(V268:V271)</f>
        <v>1133.1999999999998</v>
      </c>
      <c r="W266" s="87">
        <f t="shared" si="132"/>
        <v>10381.799999999999</v>
      </c>
      <c r="X266" s="84">
        <f t="shared" ref="X266" si="152">SUM(X268:X271)</f>
        <v>5667</v>
      </c>
      <c r="Y266" s="84">
        <f>X266-W266</f>
        <v>-4714.7999999999993</v>
      </c>
      <c r="Z266" s="211">
        <f>X266/W266</f>
        <v>0.54585909957810785</v>
      </c>
      <c r="AA266" s="191"/>
    </row>
    <row r="267" spans="1:27" ht="13.5" customHeight="1" x14ac:dyDescent="0.25">
      <c r="A267" s="117" t="s">
        <v>47</v>
      </c>
      <c r="B267" s="103"/>
      <c r="C267" s="26"/>
      <c r="D267" s="27"/>
      <c r="E267" s="26"/>
      <c r="F267" s="26"/>
      <c r="G267" s="26"/>
      <c r="H267" s="28"/>
      <c r="I267" s="26"/>
      <c r="J267" s="26"/>
      <c r="K267" s="29"/>
      <c r="L267" s="125"/>
      <c r="M267" s="26"/>
      <c r="N267" s="28"/>
      <c r="O267" s="26"/>
      <c r="P267" s="28"/>
      <c r="Q267" s="26"/>
      <c r="R267" s="28"/>
      <c r="S267" s="26"/>
      <c r="T267" s="26"/>
      <c r="U267" s="26"/>
      <c r="V267" s="26"/>
      <c r="W267" s="29"/>
      <c r="X267" s="125"/>
      <c r="Y267" s="125"/>
      <c r="Z267" s="214"/>
    </row>
    <row r="268" spans="1:27" ht="24.75" customHeight="1" x14ac:dyDescent="0.25">
      <c r="A268" s="32" t="s">
        <v>252</v>
      </c>
      <c r="B268" s="90"/>
      <c r="C268" s="34">
        <v>0</v>
      </c>
      <c r="D268" s="27">
        <v>0</v>
      </c>
      <c r="E268" s="26">
        <f>SUM(C268:D268)</f>
        <v>0</v>
      </c>
      <c r="F268" s="26">
        <v>0</v>
      </c>
      <c r="G268" s="26">
        <f>1253.45</f>
        <v>1253.45</v>
      </c>
      <c r="H268" s="28">
        <f>SUM(E268:G268)+50</f>
        <v>1303.45</v>
      </c>
      <c r="I268" s="26">
        <v>0</v>
      </c>
      <c r="J268" s="26">
        <f>4093.05+1654.45+2528.1-1881.2</f>
        <v>6394.4000000000005</v>
      </c>
      <c r="K268" s="29">
        <f>SUM(H268:J268)</f>
        <v>7697.85</v>
      </c>
      <c r="L268" s="119">
        <v>0</v>
      </c>
      <c r="M268" s="34">
        <f>L268-K268</f>
        <v>-7697.85</v>
      </c>
      <c r="N268" s="35">
        <f>L268/K268</f>
        <v>0</v>
      </c>
      <c r="O268" s="34">
        <v>0</v>
      </c>
      <c r="P268" s="35">
        <f>L268+O268</f>
        <v>0</v>
      </c>
      <c r="Q268" s="34">
        <v>0</v>
      </c>
      <c r="R268" s="35">
        <v>0</v>
      </c>
      <c r="S268" s="34">
        <f>SUM(P268:R268)+20</f>
        <v>20</v>
      </c>
      <c r="T268" s="34">
        <v>0</v>
      </c>
      <c r="U268" s="34">
        <v>0</v>
      </c>
      <c r="V268" s="26">
        <f>198</f>
        <v>198</v>
      </c>
      <c r="W268" s="29">
        <f t="shared" si="132"/>
        <v>218</v>
      </c>
      <c r="X268" s="192" t="s">
        <v>263</v>
      </c>
      <c r="Y268" s="192" t="s">
        <v>263</v>
      </c>
      <c r="Z268" s="215" t="s">
        <v>263</v>
      </c>
    </row>
    <row r="269" spans="1:27" ht="15" customHeight="1" x14ac:dyDescent="0.25">
      <c r="A269" s="114" t="s">
        <v>67</v>
      </c>
      <c r="B269" s="90"/>
      <c r="C269" s="34">
        <v>370</v>
      </c>
      <c r="D269" s="27">
        <v>0</v>
      </c>
      <c r="E269" s="26">
        <f t="shared" ref="E269:E271" si="153">SUM(C269:D269)</f>
        <v>370</v>
      </c>
      <c r="F269" s="26">
        <v>0</v>
      </c>
      <c r="G269" s="26">
        <v>0</v>
      </c>
      <c r="H269" s="28">
        <f>SUM(E269:G269)+20</f>
        <v>390</v>
      </c>
      <c r="I269" s="26">
        <v>0</v>
      </c>
      <c r="J269" s="26">
        <v>0</v>
      </c>
      <c r="K269" s="29">
        <f t="shared" si="117"/>
        <v>390</v>
      </c>
      <c r="L269" s="119">
        <v>370</v>
      </c>
      <c r="M269" s="34">
        <f t="shared" ref="M269:M271" si="154">L269-K269</f>
        <v>-20</v>
      </c>
      <c r="N269" s="35">
        <f t="shared" ref="N269:N271" si="155">L269/K269</f>
        <v>0.94871794871794868</v>
      </c>
      <c r="O269" s="34">
        <v>0</v>
      </c>
      <c r="P269" s="35">
        <f t="shared" ref="P269:P271" si="156">L269+O269</f>
        <v>370</v>
      </c>
      <c r="Q269" s="34">
        <v>0</v>
      </c>
      <c r="R269" s="35">
        <v>0</v>
      </c>
      <c r="S269" s="34">
        <f t="shared" ref="S269:S271" si="157">SUM(P269:R269)</f>
        <v>370</v>
      </c>
      <c r="T269" s="34">
        <v>0</v>
      </c>
      <c r="U269" s="34">
        <v>0</v>
      </c>
      <c r="V269" s="26">
        <v>0</v>
      </c>
      <c r="W269" s="29">
        <f t="shared" si="132"/>
        <v>370</v>
      </c>
      <c r="X269" s="119">
        <v>380</v>
      </c>
      <c r="Y269" s="119">
        <f>X269-W269</f>
        <v>10</v>
      </c>
      <c r="Z269" s="216">
        <f>X269/W269</f>
        <v>1.027027027027027</v>
      </c>
    </row>
    <row r="270" spans="1:27" ht="15" customHeight="1" x14ac:dyDescent="0.25">
      <c r="A270" s="241" t="s">
        <v>366</v>
      </c>
      <c r="B270" s="118"/>
      <c r="C270" s="34">
        <v>1200</v>
      </c>
      <c r="D270" s="27">
        <v>0</v>
      </c>
      <c r="E270" s="26">
        <f t="shared" si="153"/>
        <v>1200</v>
      </c>
      <c r="F270" s="26">
        <v>-165</v>
      </c>
      <c r="G270" s="26">
        <v>0</v>
      </c>
      <c r="H270" s="28">
        <f t="shared" ref="H270" si="158">SUM(E270:G270)</f>
        <v>1035</v>
      </c>
      <c r="I270" s="26">
        <v>0</v>
      </c>
      <c r="J270" s="26">
        <v>0</v>
      </c>
      <c r="K270" s="29">
        <f t="shared" si="117"/>
        <v>1035</v>
      </c>
      <c r="L270" s="119">
        <v>800</v>
      </c>
      <c r="M270" s="34">
        <f t="shared" si="154"/>
        <v>-235</v>
      </c>
      <c r="N270" s="35">
        <f t="shared" si="155"/>
        <v>0.77294685990338163</v>
      </c>
      <c r="O270" s="34">
        <v>0</v>
      </c>
      <c r="P270" s="35">
        <f t="shared" si="156"/>
        <v>800</v>
      </c>
      <c r="Q270" s="34">
        <v>0</v>
      </c>
      <c r="R270" s="35">
        <v>0</v>
      </c>
      <c r="S270" s="34">
        <f t="shared" si="157"/>
        <v>800</v>
      </c>
      <c r="T270" s="34">
        <v>0</v>
      </c>
      <c r="U270" s="34">
        <v>0</v>
      </c>
      <c r="V270" s="26">
        <v>0</v>
      </c>
      <c r="W270" s="29">
        <f t="shared" si="132"/>
        <v>800</v>
      </c>
      <c r="X270" s="119">
        <v>0</v>
      </c>
      <c r="Y270" s="119">
        <f t="shared" ref="Y270:Y271" si="159">X270-W270</f>
        <v>-800</v>
      </c>
      <c r="Z270" s="216">
        <f t="shared" ref="Z270" si="160">X270/W270</f>
        <v>0</v>
      </c>
    </row>
    <row r="271" spans="1:27" ht="25.5" customHeight="1" thickBot="1" x14ac:dyDescent="0.3">
      <c r="A271" s="49" t="s">
        <v>254</v>
      </c>
      <c r="B271" s="95"/>
      <c r="C271" s="38">
        <v>5215</v>
      </c>
      <c r="D271" s="39">
        <v>0</v>
      </c>
      <c r="E271" s="40">
        <f t="shared" si="153"/>
        <v>5215</v>
      </c>
      <c r="F271" s="40">
        <f>165+0+9000</f>
        <v>9165</v>
      </c>
      <c r="G271" s="40">
        <f>-48-50</f>
        <v>-98</v>
      </c>
      <c r="H271" s="41">
        <f>SUM(E271:G271)-20</f>
        <v>14262</v>
      </c>
      <c r="I271" s="40">
        <v>-695</v>
      </c>
      <c r="J271" s="40">
        <f>-42+415.56</f>
        <v>373.56</v>
      </c>
      <c r="K271" s="194">
        <f t="shared" si="117"/>
        <v>13940.56</v>
      </c>
      <c r="L271" s="124">
        <v>6239</v>
      </c>
      <c r="M271" s="38">
        <f t="shared" si="154"/>
        <v>-7701.5599999999995</v>
      </c>
      <c r="N271" s="42">
        <f t="shared" si="155"/>
        <v>0.44754299683800364</v>
      </c>
      <c r="O271" s="38">
        <f>913.5+527.1</f>
        <v>1440.6</v>
      </c>
      <c r="P271" s="42">
        <f t="shared" si="156"/>
        <v>7679.6</v>
      </c>
      <c r="Q271" s="38">
        <v>0</v>
      </c>
      <c r="R271" s="42">
        <f>24.1+13.6-50+391.3</f>
        <v>379</v>
      </c>
      <c r="S271" s="38">
        <f t="shared" si="157"/>
        <v>8058.6</v>
      </c>
      <c r="T271" s="38">
        <v>0</v>
      </c>
      <c r="U271" s="38">
        <v>0</v>
      </c>
      <c r="V271" s="40">
        <f>900+34.9+0.3</f>
        <v>935.19999999999993</v>
      </c>
      <c r="W271" s="194">
        <f t="shared" si="132"/>
        <v>8993.8000000000011</v>
      </c>
      <c r="X271" s="124">
        <v>5287</v>
      </c>
      <c r="Y271" s="119">
        <f t="shared" si="159"/>
        <v>-3706.8000000000011</v>
      </c>
      <c r="Z271" s="216">
        <f>X271/W271</f>
        <v>0.58784940736952118</v>
      </c>
    </row>
    <row r="272" spans="1:27" ht="16.5" customHeight="1" thickBot="1" x14ac:dyDescent="0.3">
      <c r="A272" s="131" t="s">
        <v>255</v>
      </c>
      <c r="B272" s="132"/>
      <c r="C272" s="133" t="e">
        <f>SUM(C24+C45+C51+C59+C65+C70+C154+C167+#REF!+C177+C227+C231+C256+C261+C266)</f>
        <v>#REF!</v>
      </c>
      <c r="D272" s="134" t="e">
        <f>SUM(D24+D45+D51+D59+D65+D70+D154+D167+#REF!+D177+D227+D231+D256+D261+D266)</f>
        <v>#REF!</v>
      </c>
      <c r="E272" s="133" t="e">
        <f>SUM(C272:D272)</f>
        <v>#REF!</v>
      </c>
      <c r="F272" s="133" t="e">
        <f>F24+F45+F51+F59+F65+F70+F154+F167+#REF!+F177+F227+F231+F256+F261+F266</f>
        <v>#REF!</v>
      </c>
      <c r="G272" s="133" t="e">
        <f>SUM(G24+G45+G51+G59+G65+G70+G154+G167+#REF!+G177+G227+G231+G256+G261+G266)</f>
        <v>#REF!</v>
      </c>
      <c r="H272" s="135" t="e">
        <f>H24+H45+H51+H59+H65+H70+H154+H167+#REF!+H177+H227+H231+H256+H261+H266</f>
        <v>#REF!</v>
      </c>
      <c r="I272" s="133" t="e">
        <f>I24+I45+I51+I59+I65+I70+I154+I167+#REF!+I177+I227+I231+I256+I261+I266</f>
        <v>#REF!</v>
      </c>
      <c r="J272" s="133" t="e">
        <f>SUM(J24+J45+J51+J59+J65+J70+J154+J167+#REF!+J177+J227+J231+J256+J261+J266)</f>
        <v>#REF!</v>
      </c>
      <c r="K272" s="136" t="e">
        <f t="shared" si="117"/>
        <v>#REF!</v>
      </c>
      <c r="L272" s="133">
        <f>SUM(L24+L45+L51+L59+L65+L70+L154+L167+L177+L227+L231+L256+L261+L266)</f>
        <v>1526912.9800000002</v>
      </c>
      <c r="M272" s="133" t="e">
        <f>SUM(M24+M45+M51+M59+M65+M70+M154+M167+#REF!+M177+M227+M231+M256+M261+M266)</f>
        <v>#REF!</v>
      </c>
      <c r="N272" s="135" t="e">
        <f>L272/K272</f>
        <v>#REF!</v>
      </c>
      <c r="O272" s="133">
        <f t="shared" ref="O272:V272" si="161">SUM(O24+O45+O51+O59+O65+O70+O154+O167+O177+O227+O231+O256+O261+O266)</f>
        <v>3183.0099999999993</v>
      </c>
      <c r="P272" s="136">
        <f t="shared" si="161"/>
        <v>1532432.8300000003</v>
      </c>
      <c r="Q272" s="133">
        <f t="shared" si="161"/>
        <v>51566.15</v>
      </c>
      <c r="R272" s="135">
        <f t="shared" si="161"/>
        <v>60829.98</v>
      </c>
      <c r="S272" s="133">
        <f t="shared" si="161"/>
        <v>1663813.9099999997</v>
      </c>
      <c r="T272" s="133">
        <f t="shared" si="161"/>
        <v>8194.4700000000012</v>
      </c>
      <c r="U272" s="133">
        <f t="shared" si="161"/>
        <v>-400</v>
      </c>
      <c r="V272" s="133">
        <f t="shared" si="161"/>
        <v>18222.389999999996</v>
      </c>
      <c r="W272" s="136">
        <f t="shared" si="132"/>
        <v>1689830.7699999996</v>
      </c>
      <c r="X272" s="133">
        <f>SUM(X24+X45+X51+X59+X65+X70+X154+X167+X177+X227+X231+X256+X261+X266)</f>
        <v>1553728.91</v>
      </c>
      <c r="Y272" s="133">
        <f>X272-W272</f>
        <v>-136101.85999999964</v>
      </c>
      <c r="Z272" s="217">
        <f>X272/W272</f>
        <v>0.91945828989727785</v>
      </c>
      <c r="AA272" s="191"/>
    </row>
    <row r="273" spans="1:27" ht="14.25" customHeight="1" thickBot="1" x14ac:dyDescent="0.3">
      <c r="A273" s="242"/>
      <c r="B273" s="243"/>
      <c r="C273" s="244"/>
      <c r="D273" s="245"/>
      <c r="E273" s="244"/>
      <c r="F273" s="244"/>
      <c r="G273" s="244"/>
      <c r="H273" s="244"/>
      <c r="I273" s="244"/>
      <c r="J273" s="244"/>
      <c r="K273" s="246"/>
      <c r="L273" s="244"/>
      <c r="M273" s="244"/>
      <c r="N273" s="247"/>
      <c r="O273" s="244"/>
      <c r="P273" s="248"/>
      <c r="Q273" s="244"/>
      <c r="R273" s="247"/>
      <c r="S273" s="244"/>
      <c r="T273" s="244"/>
      <c r="U273" s="244"/>
      <c r="V273" s="244"/>
      <c r="W273" s="246"/>
      <c r="X273" s="244"/>
      <c r="Y273" s="244"/>
      <c r="Z273" s="249"/>
    </row>
    <row r="274" spans="1:27" ht="18" customHeight="1" thickBot="1" x14ac:dyDescent="0.3">
      <c r="A274" s="131" t="s">
        <v>256</v>
      </c>
      <c r="B274" s="140"/>
      <c r="C274" s="78"/>
      <c r="D274" s="79"/>
      <c r="E274" s="78"/>
      <c r="F274" s="78"/>
      <c r="G274" s="78"/>
      <c r="H274" s="80"/>
      <c r="I274" s="78"/>
      <c r="J274" s="78"/>
      <c r="K274" s="81"/>
      <c r="L274" s="78"/>
      <c r="M274" s="78"/>
      <c r="N274" s="80"/>
      <c r="O274" s="78"/>
      <c r="P274" s="81"/>
      <c r="Q274" s="78"/>
      <c r="R274" s="80"/>
      <c r="S274" s="78"/>
      <c r="T274" s="78"/>
      <c r="U274" s="78"/>
      <c r="V274" s="78"/>
      <c r="W274" s="81"/>
      <c r="X274" s="78"/>
      <c r="Y274" s="78"/>
      <c r="Z274" s="210"/>
    </row>
    <row r="275" spans="1:27" ht="18" customHeight="1" thickBot="1" x14ac:dyDescent="0.3">
      <c r="A275" s="116" t="s">
        <v>46</v>
      </c>
      <c r="B275" s="109"/>
      <c r="C275" s="84">
        <f t="shared" ref="C275" si="162">SUM(C277)</f>
        <v>0</v>
      </c>
      <c r="D275" s="85">
        <f>SUM(D277)</f>
        <v>0</v>
      </c>
      <c r="E275" s="141">
        <f>SUM(C275:D275)</f>
        <v>0</v>
      </c>
      <c r="F275" s="141">
        <f>SUM(F277)</f>
        <v>0</v>
      </c>
      <c r="G275" s="141">
        <f>SUM(G277:G277)</f>
        <v>0</v>
      </c>
      <c r="H275" s="142">
        <f>SUM(H277:H277)</f>
        <v>0</v>
      </c>
      <c r="I275" s="141">
        <f>SUM(I277:I277)</f>
        <v>0</v>
      </c>
      <c r="J275" s="141">
        <f>SUM(J277:J277)</f>
        <v>0</v>
      </c>
      <c r="K275" s="87">
        <f t="shared" si="117"/>
        <v>0</v>
      </c>
      <c r="L275" s="84">
        <f t="shared" ref="L275" si="163">SUM(L277)</f>
        <v>0</v>
      </c>
      <c r="M275" s="84">
        <f>SUM(M277:M277)</f>
        <v>0</v>
      </c>
      <c r="N275" s="86" t="e">
        <f>L275/K275</f>
        <v>#DIV/0!</v>
      </c>
      <c r="O275" s="84">
        <f>SUM(O277:O277)</f>
        <v>0</v>
      </c>
      <c r="P275" s="87">
        <f>SUM(P277:P277)</f>
        <v>0</v>
      </c>
      <c r="Q275" s="84">
        <f>SUM(Q277:Q277)</f>
        <v>0</v>
      </c>
      <c r="R275" s="86">
        <f>SUM(R277)</f>
        <v>0</v>
      </c>
      <c r="S275" s="84">
        <f>SUM(S277:S277)</f>
        <v>0</v>
      </c>
      <c r="T275" s="84">
        <f>SUM(T277)</f>
        <v>0</v>
      </c>
      <c r="U275" s="84">
        <f>SUM(U277)</f>
        <v>0</v>
      </c>
      <c r="V275" s="84">
        <f>SUM(V277)</f>
        <v>0</v>
      </c>
      <c r="W275" s="87">
        <f t="shared" si="132"/>
        <v>0</v>
      </c>
      <c r="X275" s="84">
        <f t="shared" ref="X275" si="164">SUM(X277)</f>
        <v>0</v>
      </c>
      <c r="Y275" s="84">
        <f>X275-W275</f>
        <v>0</v>
      </c>
      <c r="Z275" s="220" t="s">
        <v>263</v>
      </c>
      <c r="AA275" s="191"/>
    </row>
    <row r="276" spans="1:27" ht="15.75" customHeight="1" x14ac:dyDescent="0.25">
      <c r="A276" s="117" t="s">
        <v>47</v>
      </c>
      <c r="B276" s="103"/>
      <c r="C276" s="26"/>
      <c r="D276" s="27"/>
      <c r="E276" s="26"/>
      <c r="F276" s="26"/>
      <c r="G276" s="26"/>
      <c r="H276" s="28"/>
      <c r="I276" s="26"/>
      <c r="J276" s="26"/>
      <c r="K276" s="29"/>
      <c r="L276" s="26"/>
      <c r="M276" s="26"/>
      <c r="N276" s="28"/>
      <c r="O276" s="26"/>
      <c r="P276" s="28"/>
      <c r="Q276" s="26"/>
      <c r="R276" s="28"/>
      <c r="S276" s="26"/>
      <c r="T276" s="26"/>
      <c r="U276" s="26"/>
      <c r="V276" s="26"/>
      <c r="W276" s="29"/>
      <c r="X276" s="26"/>
      <c r="Y276" s="26"/>
      <c r="Z276" s="203"/>
    </row>
    <row r="277" spans="1:27" ht="18.75" customHeight="1" thickBot="1" x14ac:dyDescent="0.3">
      <c r="A277" s="115" t="s">
        <v>257</v>
      </c>
      <c r="B277" s="102"/>
      <c r="C277" s="38">
        <v>0</v>
      </c>
      <c r="D277" s="99">
        <v>0</v>
      </c>
      <c r="E277" s="62">
        <f>SUM(C277:D277)</f>
        <v>0</v>
      </c>
      <c r="F277" s="62">
        <v>0</v>
      </c>
      <c r="G277" s="62">
        <v>0</v>
      </c>
      <c r="H277" s="42">
        <f>SUM(E277:G277)</f>
        <v>0</v>
      </c>
      <c r="I277" s="38">
        <v>0</v>
      </c>
      <c r="J277" s="38">
        <v>0</v>
      </c>
      <c r="K277" s="101">
        <f t="shared" si="117"/>
        <v>0</v>
      </c>
      <c r="L277" s="38">
        <v>0</v>
      </c>
      <c r="M277" s="38">
        <f>L277-K277</f>
        <v>0</v>
      </c>
      <c r="N277" s="100" t="s">
        <v>39</v>
      </c>
      <c r="O277" s="62">
        <v>0</v>
      </c>
      <c r="P277" s="42">
        <f>L277+O277</f>
        <v>0</v>
      </c>
      <c r="Q277" s="62">
        <v>0</v>
      </c>
      <c r="R277" s="100">
        <v>0</v>
      </c>
      <c r="S277" s="62">
        <f>SUM(P277:R277)</f>
        <v>0</v>
      </c>
      <c r="T277" s="62">
        <v>0</v>
      </c>
      <c r="U277" s="62">
        <v>0</v>
      </c>
      <c r="V277" s="64">
        <v>0</v>
      </c>
      <c r="W277" s="194">
        <f t="shared" si="132"/>
        <v>0</v>
      </c>
      <c r="X277" s="38">
        <v>0</v>
      </c>
      <c r="Y277" s="38">
        <f>X277-W277</f>
        <v>0</v>
      </c>
      <c r="Z277" s="221" t="s">
        <v>263</v>
      </c>
    </row>
    <row r="278" spans="1:27" ht="15" customHeight="1" thickBot="1" x14ac:dyDescent="0.3">
      <c r="A278" s="116" t="s">
        <v>258</v>
      </c>
      <c r="B278" s="109"/>
      <c r="C278" s="84">
        <f t="shared" ref="C278" si="165">SUM(C280:C283)</f>
        <v>400</v>
      </c>
      <c r="D278" s="85">
        <f>SUM(D280:D283)</f>
        <v>0</v>
      </c>
      <c r="E278" s="84">
        <f>SUM(C278:D278)</f>
        <v>400</v>
      </c>
      <c r="F278" s="84">
        <f>SUM(F280:F283)</f>
        <v>0</v>
      </c>
      <c r="G278" s="84">
        <f>SUM(G280:G283)</f>
        <v>0</v>
      </c>
      <c r="H278" s="86">
        <f>SUM(H280:H283)</f>
        <v>400</v>
      </c>
      <c r="I278" s="84">
        <f>SUM(I280:I283)</f>
        <v>0</v>
      </c>
      <c r="J278" s="84">
        <f>SUM(J280:J283)</f>
        <v>115</v>
      </c>
      <c r="K278" s="87">
        <f t="shared" si="117"/>
        <v>515</v>
      </c>
      <c r="L278" s="84">
        <f t="shared" ref="L278" si="166">SUM(L280:L283)</f>
        <v>400</v>
      </c>
      <c r="M278" s="84">
        <f>SUM(M280:M283)</f>
        <v>-115</v>
      </c>
      <c r="N278" s="142">
        <f>L278/K278</f>
        <v>0.77669902912621358</v>
      </c>
      <c r="O278" s="141">
        <f t="shared" ref="O278:T278" si="167">SUM(O280:O283)</f>
        <v>100</v>
      </c>
      <c r="P278" s="143">
        <f t="shared" si="167"/>
        <v>500</v>
      </c>
      <c r="Q278" s="141">
        <f t="shared" si="167"/>
        <v>0</v>
      </c>
      <c r="R278" s="142">
        <f t="shared" si="167"/>
        <v>0</v>
      </c>
      <c r="S278" s="141">
        <f t="shared" si="167"/>
        <v>500</v>
      </c>
      <c r="T278" s="141">
        <f t="shared" si="167"/>
        <v>8000</v>
      </c>
      <c r="U278" s="141">
        <f>SUM(U280:U283)</f>
        <v>0</v>
      </c>
      <c r="V278" s="141">
        <f>SUM(V280:V283)</f>
        <v>0</v>
      </c>
      <c r="W278" s="87">
        <f t="shared" si="132"/>
        <v>8500</v>
      </c>
      <c r="X278" s="84">
        <f t="shared" ref="X278" si="168">SUM(X280:X283)</f>
        <v>8000</v>
      </c>
      <c r="Y278" s="84">
        <f>X278-W278</f>
        <v>-500</v>
      </c>
      <c r="Z278" s="211">
        <f>X278/W278</f>
        <v>0.94117647058823528</v>
      </c>
      <c r="AA278" s="191"/>
    </row>
    <row r="279" spans="1:27" ht="15.75" customHeight="1" x14ac:dyDescent="0.25">
      <c r="A279" s="117" t="s">
        <v>47</v>
      </c>
      <c r="B279" s="103"/>
      <c r="C279" s="26"/>
      <c r="D279" s="27"/>
      <c r="E279" s="26"/>
      <c r="F279" s="26"/>
      <c r="G279" s="26"/>
      <c r="H279" s="28"/>
      <c r="I279" s="26"/>
      <c r="J279" s="26"/>
      <c r="K279" s="29"/>
      <c r="L279" s="26"/>
      <c r="M279" s="26"/>
      <c r="N279" s="60"/>
      <c r="O279" s="59"/>
      <c r="P279" s="60"/>
      <c r="Q279" s="59"/>
      <c r="R279" s="60"/>
      <c r="S279" s="59"/>
      <c r="T279" s="59"/>
      <c r="U279" s="59"/>
      <c r="V279" s="59"/>
      <c r="W279" s="29"/>
      <c r="X279" s="26"/>
      <c r="Y279" s="26"/>
      <c r="Z279" s="203"/>
    </row>
    <row r="280" spans="1:27" ht="16.5" customHeight="1" x14ac:dyDescent="0.25">
      <c r="A280" s="114" t="s">
        <v>259</v>
      </c>
      <c r="B280" s="90"/>
      <c r="C280" s="34">
        <v>0</v>
      </c>
      <c r="D280" s="27">
        <v>0</v>
      </c>
      <c r="E280" s="59">
        <f>SUM(C280:D280)</f>
        <v>0</v>
      </c>
      <c r="F280" s="59">
        <v>0</v>
      </c>
      <c r="G280" s="59">
        <v>0</v>
      </c>
      <c r="H280" s="60">
        <f>SUM(E280:G280)</f>
        <v>0</v>
      </c>
      <c r="I280" s="59">
        <v>0</v>
      </c>
      <c r="J280" s="59">
        <v>0</v>
      </c>
      <c r="K280" s="29">
        <f t="shared" si="117"/>
        <v>0</v>
      </c>
      <c r="L280" s="34">
        <v>0</v>
      </c>
      <c r="M280" s="34">
        <f>L280-K280</f>
        <v>0</v>
      </c>
      <c r="N280" s="92" t="s">
        <v>39</v>
      </c>
      <c r="O280" s="57">
        <v>0</v>
      </c>
      <c r="P280" s="92">
        <f>L280+O280</f>
        <v>0</v>
      </c>
      <c r="Q280" s="57">
        <v>0</v>
      </c>
      <c r="R280" s="92">
        <v>0</v>
      </c>
      <c r="S280" s="57">
        <f>SUM(P280:R280)</f>
        <v>0</v>
      </c>
      <c r="T280" s="57">
        <v>0</v>
      </c>
      <c r="U280" s="57">
        <v>0</v>
      </c>
      <c r="V280" s="59">
        <v>0</v>
      </c>
      <c r="W280" s="29">
        <f t="shared" si="132"/>
        <v>0</v>
      </c>
      <c r="X280" s="57" t="s">
        <v>263</v>
      </c>
      <c r="Y280" s="57" t="s">
        <v>263</v>
      </c>
      <c r="Z280" s="212" t="s">
        <v>263</v>
      </c>
    </row>
    <row r="281" spans="1:27" ht="16.5" customHeight="1" x14ac:dyDescent="0.25">
      <c r="A281" s="114" t="s">
        <v>260</v>
      </c>
      <c r="B281" s="90"/>
      <c r="C281" s="34">
        <v>0</v>
      </c>
      <c r="D281" s="27">
        <v>0</v>
      </c>
      <c r="E281" s="59">
        <f t="shared" ref="E281:E283" si="169">SUM(C281:D281)</f>
        <v>0</v>
      </c>
      <c r="F281" s="59">
        <v>0</v>
      </c>
      <c r="G281" s="59">
        <v>0</v>
      </c>
      <c r="H281" s="60">
        <f t="shared" ref="H281:H283" si="170">SUM(E281:G281)</f>
        <v>0</v>
      </c>
      <c r="I281" s="59">
        <v>0</v>
      </c>
      <c r="J281" s="59">
        <v>0</v>
      </c>
      <c r="K281" s="29">
        <f t="shared" si="117"/>
        <v>0</v>
      </c>
      <c r="L281" s="34">
        <v>0</v>
      </c>
      <c r="M281" s="34">
        <f t="shared" ref="M281:M283" si="171">L281-K281</f>
        <v>0</v>
      </c>
      <c r="N281" s="92" t="s">
        <v>39</v>
      </c>
      <c r="O281" s="57">
        <v>0</v>
      </c>
      <c r="P281" s="92">
        <f t="shared" ref="P281:P283" si="172">L281+O281</f>
        <v>0</v>
      </c>
      <c r="Q281" s="57">
        <v>0</v>
      </c>
      <c r="R281" s="92">
        <v>0</v>
      </c>
      <c r="S281" s="57">
        <f t="shared" ref="S281:S283" si="173">SUM(P281:R281)</f>
        <v>0</v>
      </c>
      <c r="T281" s="57">
        <v>8000</v>
      </c>
      <c r="U281" s="57">
        <v>0</v>
      </c>
      <c r="V281" s="59">
        <v>0</v>
      </c>
      <c r="W281" s="29">
        <f t="shared" si="132"/>
        <v>8000</v>
      </c>
      <c r="X281" s="34">
        <v>8000</v>
      </c>
      <c r="Y281" s="34">
        <f>X281-W281</f>
        <v>0</v>
      </c>
      <c r="Z281" s="213">
        <f>X281/W281</f>
        <v>1</v>
      </c>
    </row>
    <row r="282" spans="1:27" ht="16.5" customHeight="1" x14ac:dyDescent="0.25">
      <c r="A282" s="114" t="s">
        <v>261</v>
      </c>
      <c r="B282" s="90"/>
      <c r="C282" s="34">
        <v>400</v>
      </c>
      <c r="D282" s="27">
        <v>0</v>
      </c>
      <c r="E282" s="59">
        <f t="shared" si="169"/>
        <v>400</v>
      </c>
      <c r="F282" s="59">
        <v>0</v>
      </c>
      <c r="G282" s="59">
        <v>0</v>
      </c>
      <c r="H282" s="60">
        <f t="shared" si="170"/>
        <v>400</v>
      </c>
      <c r="I282" s="59">
        <v>0</v>
      </c>
      <c r="J282" s="59">
        <f>115</f>
        <v>115</v>
      </c>
      <c r="K282" s="29">
        <f t="shared" si="117"/>
        <v>515</v>
      </c>
      <c r="L282" s="34">
        <v>400</v>
      </c>
      <c r="M282" s="34">
        <f t="shared" si="171"/>
        <v>-115</v>
      </c>
      <c r="N282" s="35">
        <f t="shared" ref="N282" si="174">L282/K282</f>
        <v>0.77669902912621358</v>
      </c>
      <c r="O282" s="34">
        <f>0+100</f>
        <v>100</v>
      </c>
      <c r="P282" s="92">
        <f t="shared" si="172"/>
        <v>500</v>
      </c>
      <c r="Q282" s="34">
        <v>0</v>
      </c>
      <c r="R282" s="35">
        <v>0</v>
      </c>
      <c r="S282" s="57">
        <f t="shared" si="173"/>
        <v>500</v>
      </c>
      <c r="T282" s="57">
        <v>0</v>
      </c>
      <c r="U282" s="57">
        <v>0</v>
      </c>
      <c r="V282" s="59">
        <v>0</v>
      </c>
      <c r="W282" s="29">
        <f t="shared" si="132"/>
        <v>500</v>
      </c>
      <c r="X282" s="34">
        <v>0</v>
      </c>
      <c r="Y282" s="34">
        <f t="shared" ref="Y282:Y283" si="175">X282-W282</f>
        <v>-500</v>
      </c>
      <c r="Z282" s="213">
        <f>X282/W282</f>
        <v>0</v>
      </c>
    </row>
    <row r="283" spans="1:27" ht="17.25" customHeight="1" thickBot="1" x14ac:dyDescent="0.3">
      <c r="A283" s="115" t="s">
        <v>262</v>
      </c>
      <c r="B283" s="102"/>
      <c r="C283" s="38">
        <v>0</v>
      </c>
      <c r="D283" s="99">
        <v>0</v>
      </c>
      <c r="E283" s="62">
        <f t="shared" si="169"/>
        <v>0</v>
      </c>
      <c r="F283" s="62">
        <v>0</v>
      </c>
      <c r="G283" s="62">
        <v>0</v>
      </c>
      <c r="H283" s="100">
        <f t="shared" si="170"/>
        <v>0</v>
      </c>
      <c r="I283" s="62">
        <v>0</v>
      </c>
      <c r="J283" s="62">
        <v>0</v>
      </c>
      <c r="K283" s="101">
        <f t="shared" si="117"/>
        <v>0</v>
      </c>
      <c r="L283" s="38">
        <v>0</v>
      </c>
      <c r="M283" s="38">
        <f t="shared" si="171"/>
        <v>0</v>
      </c>
      <c r="N283" s="100" t="s">
        <v>263</v>
      </c>
      <c r="O283" s="62">
        <v>0</v>
      </c>
      <c r="P283" s="100">
        <f t="shared" si="172"/>
        <v>0</v>
      </c>
      <c r="Q283" s="62">
        <v>0</v>
      </c>
      <c r="R283" s="100">
        <v>0</v>
      </c>
      <c r="S283" s="62">
        <f t="shared" si="173"/>
        <v>0</v>
      </c>
      <c r="T283" s="62">
        <v>0</v>
      </c>
      <c r="U283" s="62">
        <v>0</v>
      </c>
      <c r="V283" s="64">
        <v>0</v>
      </c>
      <c r="W283" s="194">
        <f t="shared" si="132"/>
        <v>0</v>
      </c>
      <c r="X283" s="38">
        <v>0</v>
      </c>
      <c r="Y283" s="34">
        <f t="shared" si="175"/>
        <v>0</v>
      </c>
      <c r="Z283" s="212" t="s">
        <v>263</v>
      </c>
    </row>
    <row r="284" spans="1:27" ht="15.75" customHeight="1" thickBot="1" x14ac:dyDescent="0.3">
      <c r="A284" s="116" t="s">
        <v>70</v>
      </c>
      <c r="B284" s="109"/>
      <c r="C284" s="84">
        <f>SUM(C286:C293)</f>
        <v>10000</v>
      </c>
      <c r="D284" s="85">
        <f>SUM(D286:D293)</f>
        <v>0</v>
      </c>
      <c r="E284" s="84">
        <f>SUM(C284:D284)</f>
        <v>10000</v>
      </c>
      <c r="F284" s="84">
        <f>SUM(F286:F293)</f>
        <v>27227.57</v>
      </c>
      <c r="G284" s="84">
        <f>SUM(G286:G293)</f>
        <v>3200</v>
      </c>
      <c r="H284" s="86">
        <f>SUM(H286:H293)</f>
        <v>40335.870000000003</v>
      </c>
      <c r="I284" s="84">
        <f>SUM(I286:I293)</f>
        <v>43144.37</v>
      </c>
      <c r="J284" s="84">
        <f>SUM(J286:J293)</f>
        <v>-10707</v>
      </c>
      <c r="K284" s="87">
        <f t="shared" si="117"/>
        <v>72773.240000000005</v>
      </c>
      <c r="L284" s="84">
        <f t="shared" ref="L284" si="176">SUM(L286:L293)</f>
        <v>63551.67</v>
      </c>
      <c r="M284" s="84">
        <f>SUM(M286:M293)</f>
        <v>-9221.5700000000033</v>
      </c>
      <c r="N284" s="86">
        <f>L284/K284</f>
        <v>0.87328350366151064</v>
      </c>
      <c r="O284" s="84">
        <f t="shared" ref="O284:T284" si="177">SUM(O286:O293)</f>
        <v>-593.28</v>
      </c>
      <c r="P284" s="87">
        <f t="shared" si="177"/>
        <v>62958.39</v>
      </c>
      <c r="Q284" s="84">
        <f t="shared" si="177"/>
        <v>20810.57</v>
      </c>
      <c r="R284" s="86">
        <f t="shared" si="177"/>
        <v>-7247.21</v>
      </c>
      <c r="S284" s="84">
        <f t="shared" si="177"/>
        <v>76521.75</v>
      </c>
      <c r="T284" s="84">
        <f t="shared" si="177"/>
        <v>0</v>
      </c>
      <c r="U284" s="84">
        <f>SUM(U286:U293)</f>
        <v>0</v>
      </c>
      <c r="V284" s="84">
        <f>SUM(V286:V293)</f>
        <v>-4267.74</v>
      </c>
      <c r="W284" s="87">
        <f t="shared" si="132"/>
        <v>72254.009999999995</v>
      </c>
      <c r="X284" s="84">
        <f t="shared" ref="X284" si="178">SUM(X286:X293)</f>
        <v>146292.67000000001</v>
      </c>
      <c r="Y284" s="84">
        <f>X284-W284</f>
        <v>74038.660000000018</v>
      </c>
      <c r="Z284" s="211">
        <f>X284/W284</f>
        <v>2.0246996671880222</v>
      </c>
      <c r="AA284" s="191"/>
    </row>
    <row r="285" spans="1:27" ht="15" customHeight="1" x14ac:dyDescent="0.25">
      <c r="A285" s="117" t="s">
        <v>47</v>
      </c>
      <c r="B285" s="103"/>
      <c r="C285" s="26"/>
      <c r="D285" s="27"/>
      <c r="E285" s="26"/>
      <c r="F285" s="26"/>
      <c r="G285" s="26"/>
      <c r="H285" s="28"/>
      <c r="I285" s="26"/>
      <c r="J285" s="26"/>
      <c r="K285" s="29"/>
      <c r="L285" s="26"/>
      <c r="M285" s="26"/>
      <c r="N285" s="28"/>
      <c r="O285" s="26"/>
      <c r="P285" s="28"/>
      <c r="Q285" s="26"/>
      <c r="R285" s="28"/>
      <c r="S285" s="26"/>
      <c r="T285" s="26"/>
      <c r="U285" s="26"/>
      <c r="V285" s="26"/>
      <c r="W285" s="29"/>
      <c r="X285" s="26"/>
      <c r="Y285" s="26"/>
      <c r="Z285" s="203"/>
    </row>
    <row r="286" spans="1:27" ht="15.75" customHeight="1" x14ac:dyDescent="0.25">
      <c r="A286" s="114" t="s">
        <v>264</v>
      </c>
      <c r="B286" s="90"/>
      <c r="C286" s="34">
        <v>1600</v>
      </c>
      <c r="D286" s="27">
        <v>0</v>
      </c>
      <c r="E286" s="26">
        <f>SUM(C286:D286)</f>
        <v>1600</v>
      </c>
      <c r="F286" s="26">
        <v>3721.84</v>
      </c>
      <c r="G286" s="26">
        <f>3500</f>
        <v>3500</v>
      </c>
      <c r="H286" s="28">
        <f>SUM(E286:G286)-69.7</f>
        <v>8752.14</v>
      </c>
      <c r="I286" s="26">
        <v>0</v>
      </c>
      <c r="J286" s="26">
        <f>-500</f>
        <v>-500</v>
      </c>
      <c r="K286" s="29">
        <f t="shared" ref="K286:K354" si="179">SUM(H286:J286)</f>
        <v>8252.14</v>
      </c>
      <c r="L286" s="34">
        <v>1600</v>
      </c>
      <c r="M286" s="34">
        <f>L286-K286</f>
        <v>-6652.1399999999994</v>
      </c>
      <c r="N286" s="35">
        <f>L286/K286</f>
        <v>0.19388910028186629</v>
      </c>
      <c r="O286" s="34">
        <v>0</v>
      </c>
      <c r="P286" s="35">
        <f>L286+O286</f>
        <v>1600</v>
      </c>
      <c r="Q286" s="34">
        <v>10252.14</v>
      </c>
      <c r="R286" s="35">
        <f>-7000</f>
        <v>-7000</v>
      </c>
      <c r="S286" s="34">
        <f>SUM(P286:R286)</f>
        <v>4852.1399999999994</v>
      </c>
      <c r="T286" s="34">
        <v>0</v>
      </c>
      <c r="U286" s="34">
        <v>0</v>
      </c>
      <c r="V286" s="26">
        <f>-107.69</f>
        <v>-107.69</v>
      </c>
      <c r="W286" s="29">
        <f t="shared" si="132"/>
        <v>4744.45</v>
      </c>
      <c r="X286" s="34">
        <v>1600</v>
      </c>
      <c r="Y286" s="34">
        <f>X286-W286</f>
        <v>-3144.45</v>
      </c>
      <c r="Z286" s="213">
        <f>X286/W286</f>
        <v>0.33723613906775285</v>
      </c>
    </row>
    <row r="287" spans="1:27" ht="17.25" customHeight="1" x14ac:dyDescent="0.25">
      <c r="A287" s="114" t="s">
        <v>265</v>
      </c>
      <c r="B287" s="90"/>
      <c r="C287" s="34">
        <v>3100</v>
      </c>
      <c r="D287" s="27">
        <v>0</v>
      </c>
      <c r="E287" s="26">
        <f t="shared" ref="E287:E293" si="180">SUM(C287:D287)</f>
        <v>3100</v>
      </c>
      <c r="F287" s="26">
        <v>1521.55</v>
      </c>
      <c r="G287" s="26">
        <v>0</v>
      </c>
      <c r="H287" s="28">
        <f>SUM(E287:G287)</f>
        <v>4621.55</v>
      </c>
      <c r="I287" s="26">
        <v>0</v>
      </c>
      <c r="J287" s="26">
        <f>-394-917</f>
        <v>-1311</v>
      </c>
      <c r="K287" s="29">
        <f t="shared" si="179"/>
        <v>3310.55</v>
      </c>
      <c r="L287" s="34">
        <v>3100</v>
      </c>
      <c r="M287" s="34">
        <f t="shared" ref="M287:M293" si="181">L287-K287</f>
        <v>-210.55000000000018</v>
      </c>
      <c r="N287" s="35">
        <f t="shared" ref="N287:N292" si="182">L287/K287</f>
        <v>0.93640029602331931</v>
      </c>
      <c r="O287" s="34">
        <v>0</v>
      </c>
      <c r="P287" s="35">
        <f t="shared" ref="P287:P293" si="183">L287+O287</f>
        <v>3100</v>
      </c>
      <c r="Q287" s="34">
        <v>2113.5500000000002</v>
      </c>
      <c r="R287" s="35">
        <v>0</v>
      </c>
      <c r="S287" s="34">
        <f t="shared" ref="S287:S292" si="184">SUM(P287:R287)</f>
        <v>5213.55</v>
      </c>
      <c r="T287" s="34">
        <v>0</v>
      </c>
      <c r="U287" s="34">
        <v>0</v>
      </c>
      <c r="V287" s="26">
        <f>-442.8</f>
        <v>-442.8</v>
      </c>
      <c r="W287" s="29">
        <f t="shared" si="132"/>
        <v>4770.75</v>
      </c>
      <c r="X287" s="34">
        <v>3100</v>
      </c>
      <c r="Y287" s="34">
        <f t="shared" ref="Y287:Y293" si="185">X287-W287</f>
        <v>-1670.75</v>
      </c>
      <c r="Z287" s="213">
        <f t="shared" ref="Z287:Z292" si="186">X287/W287</f>
        <v>0.64979300948488183</v>
      </c>
    </row>
    <row r="288" spans="1:27" ht="17.25" customHeight="1" x14ac:dyDescent="0.25">
      <c r="A288" s="24" t="s">
        <v>266</v>
      </c>
      <c r="B288" s="103"/>
      <c r="C288" s="34">
        <v>1300</v>
      </c>
      <c r="D288" s="27">
        <v>0</v>
      </c>
      <c r="E288" s="26">
        <f t="shared" si="180"/>
        <v>1300</v>
      </c>
      <c r="F288" s="26">
        <v>2763.95</v>
      </c>
      <c r="G288" s="26">
        <f>-300</f>
        <v>-300</v>
      </c>
      <c r="H288" s="28">
        <f t="shared" ref="H288:H293" si="187">SUM(E288:G288)</f>
        <v>3763.95</v>
      </c>
      <c r="I288" s="26">
        <v>0</v>
      </c>
      <c r="J288" s="26">
        <f>-193</f>
        <v>-193</v>
      </c>
      <c r="K288" s="29">
        <f t="shared" si="179"/>
        <v>3570.95</v>
      </c>
      <c r="L288" s="34">
        <v>1300</v>
      </c>
      <c r="M288" s="34">
        <f t="shared" si="181"/>
        <v>-2270.9499999999998</v>
      </c>
      <c r="N288" s="35">
        <f t="shared" si="182"/>
        <v>0.36404878253685996</v>
      </c>
      <c r="O288" s="34">
        <f>0-550</f>
        <v>-550</v>
      </c>
      <c r="P288" s="35">
        <f t="shared" si="183"/>
        <v>750</v>
      </c>
      <c r="Q288" s="34">
        <v>2437.9499999999998</v>
      </c>
      <c r="R288" s="35">
        <f>-57.21</f>
        <v>-57.21</v>
      </c>
      <c r="S288" s="34">
        <f t="shared" si="184"/>
        <v>3130.74</v>
      </c>
      <c r="T288" s="34">
        <v>0</v>
      </c>
      <c r="U288" s="34">
        <v>0</v>
      </c>
      <c r="V288" s="26">
        <f>-1138-12.4</f>
        <v>-1150.4000000000001</v>
      </c>
      <c r="W288" s="29">
        <f t="shared" si="132"/>
        <v>1980.3399999999997</v>
      </c>
      <c r="X288" s="34">
        <v>1300</v>
      </c>
      <c r="Y288" s="34">
        <f t="shared" si="185"/>
        <v>-680.33999999999969</v>
      </c>
      <c r="Z288" s="213">
        <f t="shared" si="186"/>
        <v>0.65645293232475244</v>
      </c>
    </row>
    <row r="289" spans="1:27" ht="17.25" customHeight="1" x14ac:dyDescent="0.25">
      <c r="A289" s="114" t="s">
        <v>267</v>
      </c>
      <c r="B289" s="90"/>
      <c r="C289" s="34">
        <v>2900</v>
      </c>
      <c r="D289" s="27">
        <v>0</v>
      </c>
      <c r="E289" s="26">
        <f t="shared" si="180"/>
        <v>2900</v>
      </c>
      <c r="F289" s="26">
        <v>1907.33</v>
      </c>
      <c r="G289" s="26">
        <v>0</v>
      </c>
      <c r="H289" s="28">
        <f>SUM(E289:G289)-22</f>
        <v>4785.33</v>
      </c>
      <c r="I289" s="26">
        <v>0</v>
      </c>
      <c r="J289" s="26">
        <f>-130</f>
        <v>-130</v>
      </c>
      <c r="K289" s="29">
        <f t="shared" si="179"/>
        <v>4655.33</v>
      </c>
      <c r="L289" s="34">
        <v>2900</v>
      </c>
      <c r="M289" s="34">
        <f t="shared" si="181"/>
        <v>-1755.33</v>
      </c>
      <c r="N289" s="35">
        <f t="shared" si="182"/>
        <v>0.62294187522689048</v>
      </c>
      <c r="O289" s="34">
        <f>-5-38.28</f>
        <v>-43.28</v>
      </c>
      <c r="P289" s="35">
        <f t="shared" si="183"/>
        <v>2856.72</v>
      </c>
      <c r="Q289" s="34">
        <v>4836.33</v>
      </c>
      <c r="R289" s="35">
        <f>-190</f>
        <v>-190</v>
      </c>
      <c r="S289" s="34">
        <f t="shared" si="184"/>
        <v>7503.0499999999993</v>
      </c>
      <c r="T289" s="34">
        <v>0</v>
      </c>
      <c r="U289" s="34">
        <v>0</v>
      </c>
      <c r="V289" s="26">
        <f>-1520.85-444-227</f>
        <v>-2191.85</v>
      </c>
      <c r="W289" s="29">
        <f t="shared" si="132"/>
        <v>5311.1999999999989</v>
      </c>
      <c r="X289" s="34">
        <v>2900</v>
      </c>
      <c r="Y289" s="34">
        <f t="shared" si="185"/>
        <v>-2411.1999999999989</v>
      </c>
      <c r="Z289" s="213">
        <f t="shared" si="186"/>
        <v>0.54601596625997906</v>
      </c>
    </row>
    <row r="290" spans="1:27" ht="16.5" customHeight="1" x14ac:dyDescent="0.25">
      <c r="A290" s="32" t="s">
        <v>268</v>
      </c>
      <c r="B290" s="90"/>
      <c r="C290" s="34">
        <v>1100</v>
      </c>
      <c r="D290" s="27">
        <v>0</v>
      </c>
      <c r="E290" s="26">
        <f t="shared" si="180"/>
        <v>1100</v>
      </c>
      <c r="F290" s="26">
        <v>4843.6000000000004</v>
      </c>
      <c r="G290" s="26">
        <v>0</v>
      </c>
      <c r="H290" s="28">
        <f t="shared" si="187"/>
        <v>5943.6</v>
      </c>
      <c r="I290" s="26">
        <v>0</v>
      </c>
      <c r="J290" s="26">
        <f>-901-3872</f>
        <v>-4773</v>
      </c>
      <c r="K290" s="29">
        <f t="shared" si="179"/>
        <v>1170.6000000000004</v>
      </c>
      <c r="L290" s="34">
        <v>1100</v>
      </c>
      <c r="M290" s="34">
        <f t="shared" si="181"/>
        <v>-70.600000000000364</v>
      </c>
      <c r="N290" s="35">
        <f t="shared" si="182"/>
        <v>0.93968904835127254</v>
      </c>
      <c r="O290" s="34">
        <v>0</v>
      </c>
      <c r="P290" s="35">
        <f t="shared" si="183"/>
        <v>1100</v>
      </c>
      <c r="Q290" s="34">
        <v>1170.5999999999999</v>
      </c>
      <c r="R290" s="35">
        <v>0</v>
      </c>
      <c r="S290" s="34">
        <f t="shared" si="184"/>
        <v>2270.6</v>
      </c>
      <c r="T290" s="34">
        <v>0</v>
      </c>
      <c r="U290" s="34">
        <v>0</v>
      </c>
      <c r="V290" s="26">
        <f>-375</f>
        <v>-375</v>
      </c>
      <c r="W290" s="29">
        <f t="shared" si="132"/>
        <v>1895.6</v>
      </c>
      <c r="X290" s="34">
        <v>1100</v>
      </c>
      <c r="Y290" s="34">
        <f t="shared" si="185"/>
        <v>-795.59999999999991</v>
      </c>
      <c r="Z290" s="213">
        <f t="shared" si="186"/>
        <v>0.58029120067524798</v>
      </c>
    </row>
    <row r="291" spans="1:27" ht="30" customHeight="1" x14ac:dyDescent="0.25">
      <c r="A291" s="36" t="s">
        <v>269</v>
      </c>
      <c r="B291" s="102"/>
      <c r="C291" s="34">
        <v>0</v>
      </c>
      <c r="D291" s="27"/>
      <c r="E291" s="26">
        <v>0</v>
      </c>
      <c r="F291" s="26">
        <v>1870.4</v>
      </c>
      <c r="G291" s="26">
        <v>0</v>
      </c>
      <c r="H291" s="28">
        <f t="shared" si="187"/>
        <v>1870.4</v>
      </c>
      <c r="I291" s="26">
        <v>4771.6499999999996</v>
      </c>
      <c r="J291" s="26">
        <f>-3800</f>
        <v>-3800</v>
      </c>
      <c r="K291" s="29">
        <f t="shared" si="179"/>
        <v>2842.0499999999993</v>
      </c>
      <c r="L291" s="34">
        <v>2677.75</v>
      </c>
      <c r="M291" s="34">
        <f t="shared" si="181"/>
        <v>-164.29999999999927</v>
      </c>
      <c r="N291" s="35">
        <f t="shared" si="182"/>
        <v>0.9421896166499536</v>
      </c>
      <c r="O291" s="34">
        <v>0</v>
      </c>
      <c r="P291" s="35">
        <f t="shared" si="183"/>
        <v>2677.75</v>
      </c>
      <c r="Q291" s="34">
        <v>0</v>
      </c>
      <c r="R291" s="35">
        <v>0</v>
      </c>
      <c r="S291" s="34">
        <f t="shared" si="184"/>
        <v>2677.75</v>
      </c>
      <c r="T291" s="34">
        <v>0</v>
      </c>
      <c r="U291" s="34">
        <v>0</v>
      </c>
      <c r="V291" s="26">
        <v>0</v>
      </c>
      <c r="W291" s="29">
        <f t="shared" si="132"/>
        <v>2677.75</v>
      </c>
      <c r="X291" s="34">
        <v>2677.75</v>
      </c>
      <c r="Y291" s="34">
        <f t="shared" si="185"/>
        <v>0</v>
      </c>
      <c r="Z291" s="213">
        <f t="shared" si="186"/>
        <v>1</v>
      </c>
    </row>
    <row r="292" spans="1:27" ht="27.75" customHeight="1" x14ac:dyDescent="0.25">
      <c r="A292" s="32" t="s">
        <v>270</v>
      </c>
      <c r="B292" s="90"/>
      <c r="C292" s="34">
        <v>0</v>
      </c>
      <c r="D292" s="27"/>
      <c r="E292" s="26">
        <v>0</v>
      </c>
      <c r="F292" s="26">
        <v>10598.9</v>
      </c>
      <c r="G292" s="26">
        <v>0</v>
      </c>
      <c r="H292" s="28">
        <f t="shared" si="187"/>
        <v>10598.9</v>
      </c>
      <c r="I292" s="26">
        <v>38372.720000000001</v>
      </c>
      <c r="J292" s="26">
        <v>0</v>
      </c>
      <c r="K292" s="29">
        <f t="shared" si="179"/>
        <v>48971.62</v>
      </c>
      <c r="L292" s="34">
        <v>50873.919999999998</v>
      </c>
      <c r="M292" s="34">
        <f t="shared" si="181"/>
        <v>1902.2999999999956</v>
      </c>
      <c r="N292" s="35">
        <f t="shared" si="182"/>
        <v>1.0388449473388872</v>
      </c>
      <c r="O292" s="34">
        <v>0</v>
      </c>
      <c r="P292" s="35">
        <f t="shared" si="183"/>
        <v>50873.919999999998</v>
      </c>
      <c r="Q292" s="34">
        <v>0</v>
      </c>
      <c r="R292" s="35">
        <v>0</v>
      </c>
      <c r="S292" s="34">
        <f t="shared" si="184"/>
        <v>50873.919999999998</v>
      </c>
      <c r="T292" s="34">
        <v>0</v>
      </c>
      <c r="U292" s="34">
        <v>0</v>
      </c>
      <c r="V292" s="26">
        <v>0</v>
      </c>
      <c r="W292" s="29">
        <f t="shared" si="132"/>
        <v>50873.919999999998</v>
      </c>
      <c r="X292" s="34">
        <v>133614.92000000001</v>
      </c>
      <c r="Y292" s="34">
        <f t="shared" si="185"/>
        <v>82741.000000000015</v>
      </c>
      <c r="Z292" s="213">
        <f t="shared" si="186"/>
        <v>2.6263932482497911</v>
      </c>
    </row>
    <row r="293" spans="1:27" ht="18" customHeight="1" thickBot="1" x14ac:dyDescent="0.3">
      <c r="A293" s="229" t="s">
        <v>271</v>
      </c>
      <c r="B293" s="230"/>
      <c r="C293" s="231">
        <v>0</v>
      </c>
      <c r="D293" s="232">
        <v>0</v>
      </c>
      <c r="E293" s="231">
        <f t="shared" si="180"/>
        <v>0</v>
      </c>
      <c r="F293" s="231">
        <v>0</v>
      </c>
      <c r="G293" s="231">
        <v>0</v>
      </c>
      <c r="H293" s="233">
        <f t="shared" si="187"/>
        <v>0</v>
      </c>
      <c r="I293" s="231">
        <v>0</v>
      </c>
      <c r="J293" s="231">
        <v>0</v>
      </c>
      <c r="K293" s="234">
        <f t="shared" si="179"/>
        <v>0</v>
      </c>
      <c r="L293" s="231">
        <v>0</v>
      </c>
      <c r="M293" s="231">
        <f t="shared" si="181"/>
        <v>0</v>
      </c>
      <c r="N293" s="235" t="s">
        <v>39</v>
      </c>
      <c r="O293" s="236">
        <v>0</v>
      </c>
      <c r="P293" s="233">
        <f t="shared" si="183"/>
        <v>0</v>
      </c>
      <c r="Q293" s="236">
        <v>0</v>
      </c>
      <c r="R293" s="235">
        <v>0</v>
      </c>
      <c r="S293" s="231">
        <f>SUM(P293:R293)</f>
        <v>0</v>
      </c>
      <c r="T293" s="231">
        <v>0</v>
      </c>
      <c r="U293" s="231">
        <v>0</v>
      </c>
      <c r="V293" s="231">
        <v>0</v>
      </c>
      <c r="W293" s="234">
        <f t="shared" si="132"/>
        <v>0</v>
      </c>
      <c r="X293" s="231">
        <v>0</v>
      </c>
      <c r="Y293" s="231">
        <f t="shared" si="185"/>
        <v>0</v>
      </c>
      <c r="Z293" s="237" t="s">
        <v>263</v>
      </c>
    </row>
    <row r="294" spans="1:27" ht="16.5" customHeight="1" thickBot="1" x14ac:dyDescent="0.3">
      <c r="A294" s="116" t="s">
        <v>76</v>
      </c>
      <c r="B294" s="109"/>
      <c r="C294" s="84">
        <f>SUM(C297:C299)</f>
        <v>4735</v>
      </c>
      <c r="D294" s="85">
        <f>SUM(D297:D299)</f>
        <v>7517</v>
      </c>
      <c r="E294" s="84">
        <f>SUM(C294:D294)</f>
        <v>12252</v>
      </c>
      <c r="F294" s="84">
        <f>SUM(F297:F299)</f>
        <v>7122.62</v>
      </c>
      <c r="G294" s="84">
        <f>SUM(G297:G299)</f>
        <v>4246</v>
      </c>
      <c r="H294" s="86">
        <f>SUM(H297:H299)</f>
        <v>23746.62</v>
      </c>
      <c r="I294" s="84">
        <f>SUM(I297:I299)</f>
        <v>4065</v>
      </c>
      <c r="J294" s="84">
        <f>SUM(J297:J299)</f>
        <v>1972.6</v>
      </c>
      <c r="K294" s="87">
        <f t="shared" si="179"/>
        <v>29784.219999999998</v>
      </c>
      <c r="L294" s="84">
        <f t="shared" ref="L294" si="188">SUM(L297:L299)</f>
        <v>11366.99</v>
      </c>
      <c r="M294" s="84">
        <f>SUM(M297:M299)</f>
        <v>-18417.229999999996</v>
      </c>
      <c r="N294" s="86">
        <f>L294/K294</f>
        <v>0.38164470984971238</v>
      </c>
      <c r="O294" s="84">
        <f t="shared" ref="O294:T294" si="189">SUM(O297:O299)</f>
        <v>8818.369999999999</v>
      </c>
      <c r="P294" s="87">
        <f t="shared" si="189"/>
        <v>20739.36</v>
      </c>
      <c r="Q294" s="84">
        <f t="shared" si="189"/>
        <v>8135.66</v>
      </c>
      <c r="R294" s="86">
        <f t="shared" si="189"/>
        <v>1704.5</v>
      </c>
      <c r="S294" s="84">
        <f t="shared" si="189"/>
        <v>31773.52</v>
      </c>
      <c r="T294" s="84">
        <f t="shared" si="189"/>
        <v>-413</v>
      </c>
      <c r="U294" s="84">
        <f>SUM(U296:U299)</f>
        <v>400</v>
      </c>
      <c r="V294" s="84">
        <f>SUM(V296:V299)</f>
        <v>2611</v>
      </c>
      <c r="W294" s="87">
        <f t="shared" si="132"/>
        <v>34371.520000000004</v>
      </c>
      <c r="X294" s="84">
        <f t="shared" ref="X294" si="190">SUM(X297:X299)</f>
        <v>14737.300000000001</v>
      </c>
      <c r="Y294" s="84">
        <f>X294-W294</f>
        <v>-19634.22</v>
      </c>
      <c r="Z294" s="211">
        <f>X294/W294</f>
        <v>0.42876486114085149</v>
      </c>
      <c r="AA294" s="191"/>
    </row>
    <row r="295" spans="1:27" ht="16.5" customHeight="1" x14ac:dyDescent="0.25">
      <c r="A295" s="117" t="s">
        <v>47</v>
      </c>
      <c r="B295" s="103"/>
      <c r="C295" s="26"/>
      <c r="D295" s="27"/>
      <c r="E295" s="26"/>
      <c r="F295" s="26"/>
      <c r="G295" s="26"/>
      <c r="H295" s="28"/>
      <c r="I295" s="26"/>
      <c r="J295" s="26"/>
      <c r="K295" s="29"/>
      <c r="L295" s="26"/>
      <c r="M295" s="26"/>
      <c r="N295" s="28"/>
      <c r="O295" s="26"/>
      <c r="P295" s="28"/>
      <c r="Q295" s="26"/>
      <c r="R295" s="28"/>
      <c r="S295" s="26"/>
      <c r="T295" s="26"/>
      <c r="U295" s="26"/>
      <c r="V295" s="26"/>
      <c r="W295" s="29"/>
      <c r="X295" s="26"/>
      <c r="Y295" s="26"/>
      <c r="Z295" s="203"/>
    </row>
    <row r="296" spans="1:27" ht="105" customHeight="1" x14ac:dyDescent="0.25">
      <c r="A296" s="24" t="s">
        <v>272</v>
      </c>
      <c r="B296" s="103"/>
      <c r="C296" s="26"/>
      <c r="D296" s="27"/>
      <c r="E296" s="26"/>
      <c r="F296" s="26"/>
      <c r="G296" s="26"/>
      <c r="H296" s="28"/>
      <c r="I296" s="26"/>
      <c r="J296" s="26"/>
      <c r="K296" s="29"/>
      <c r="L296" s="26">
        <v>0</v>
      </c>
      <c r="M296" s="26"/>
      <c r="N296" s="28"/>
      <c r="O296" s="26"/>
      <c r="P296" s="28"/>
      <c r="Q296" s="26"/>
      <c r="R296" s="28"/>
      <c r="S296" s="26">
        <v>0</v>
      </c>
      <c r="T296" s="26">
        <v>0</v>
      </c>
      <c r="U296" s="26">
        <f>400</f>
        <v>400</v>
      </c>
      <c r="V296" s="26">
        <v>0</v>
      </c>
      <c r="W296" s="29">
        <f t="shared" si="132"/>
        <v>400</v>
      </c>
      <c r="X296" s="26">
        <v>0</v>
      </c>
      <c r="Y296" s="26">
        <f>X296-W296</f>
        <v>-400</v>
      </c>
      <c r="Z296" s="203">
        <f>X296/W296</f>
        <v>0</v>
      </c>
    </row>
    <row r="297" spans="1:27" ht="30" customHeight="1" x14ac:dyDescent="0.25">
      <c r="A297" s="32" t="s">
        <v>273</v>
      </c>
      <c r="B297" s="90"/>
      <c r="C297" s="34">
        <v>0</v>
      </c>
      <c r="D297" s="27">
        <v>0</v>
      </c>
      <c r="E297" s="59">
        <f>SUM(C297:D297)</f>
        <v>0</v>
      </c>
      <c r="F297" s="59">
        <v>0</v>
      </c>
      <c r="G297" s="59">
        <v>0</v>
      </c>
      <c r="H297" s="60">
        <f>SUM(E297:G297)</f>
        <v>0</v>
      </c>
      <c r="I297" s="59">
        <v>0</v>
      </c>
      <c r="J297" s="59">
        <v>0</v>
      </c>
      <c r="K297" s="29">
        <f t="shared" si="179"/>
        <v>0</v>
      </c>
      <c r="L297" s="34">
        <v>0</v>
      </c>
      <c r="M297" s="34">
        <f>L297-K297</f>
        <v>0</v>
      </c>
      <c r="N297" s="92" t="s">
        <v>39</v>
      </c>
      <c r="O297" s="57">
        <v>0</v>
      </c>
      <c r="P297" s="92">
        <f>L297+O297</f>
        <v>0</v>
      </c>
      <c r="Q297" s="57">
        <v>0</v>
      </c>
      <c r="R297" s="92">
        <v>0</v>
      </c>
      <c r="S297" s="57">
        <f>SUM(P297:R297)</f>
        <v>0</v>
      </c>
      <c r="T297" s="57">
        <v>0</v>
      </c>
      <c r="U297" s="57">
        <v>0</v>
      </c>
      <c r="V297" s="59">
        <v>0</v>
      </c>
      <c r="W297" s="29">
        <f t="shared" si="132"/>
        <v>0</v>
      </c>
      <c r="X297" s="34">
        <v>0</v>
      </c>
      <c r="Y297" s="34">
        <f>X297-W297</f>
        <v>0</v>
      </c>
      <c r="Z297" s="207" t="s">
        <v>263</v>
      </c>
    </row>
    <row r="298" spans="1:27" ht="16.5" customHeight="1" x14ac:dyDescent="0.25">
      <c r="A298" s="114" t="s">
        <v>260</v>
      </c>
      <c r="B298" s="90"/>
      <c r="C298" s="34">
        <v>3678</v>
      </c>
      <c r="D298" s="27">
        <f>6934+90+483</f>
        <v>7507</v>
      </c>
      <c r="E298" s="59">
        <f t="shared" ref="E298:E299" si="191">SUM(C298:D298)</f>
        <v>11185</v>
      </c>
      <c r="F298" s="59">
        <v>2418</v>
      </c>
      <c r="G298" s="59">
        <f>200+4046</f>
        <v>4246</v>
      </c>
      <c r="H298" s="60">
        <f>SUM(E298:G298)+126</f>
        <v>17975</v>
      </c>
      <c r="I298" s="59">
        <v>0</v>
      </c>
      <c r="J298" s="59">
        <f>-307-277.4+1655+902</f>
        <v>1972.6</v>
      </c>
      <c r="K298" s="29">
        <f t="shared" si="179"/>
        <v>19947.599999999999</v>
      </c>
      <c r="L298" s="34">
        <v>10228</v>
      </c>
      <c r="M298" s="34">
        <f t="shared" ref="M298:M299" si="192">L298-K298</f>
        <v>-9719.5999999999985</v>
      </c>
      <c r="N298" s="92">
        <f t="shared" ref="N298:N299" si="193">L298/K298</f>
        <v>0.51274338767571037</v>
      </c>
      <c r="O298" s="57">
        <f>6509.37+101+2264</f>
        <v>8874.369999999999</v>
      </c>
      <c r="P298" s="92">
        <f>L298+O298+554</f>
        <v>19656.37</v>
      </c>
      <c r="Q298" s="57">
        <v>7540.66</v>
      </c>
      <c r="R298" s="92">
        <f>-89+1700+24</f>
        <v>1635</v>
      </c>
      <c r="S298" s="57">
        <f>SUM(P298:R298)+1194</f>
        <v>30026.03</v>
      </c>
      <c r="T298" s="57">
        <v>-413</v>
      </c>
      <c r="U298" s="57">
        <v>0</v>
      </c>
      <c r="V298" s="59">
        <f>308+2191+112</f>
        <v>2611</v>
      </c>
      <c r="W298" s="29">
        <f t="shared" si="132"/>
        <v>32224.03</v>
      </c>
      <c r="X298" s="34">
        <v>13059.1</v>
      </c>
      <c r="Y298" s="34">
        <f t="shared" ref="Y298:Y299" si="194">X298-W298</f>
        <v>-19164.93</v>
      </c>
      <c r="Z298" s="203">
        <f t="shared" ref="Z298:Z299" si="195">X298/W298</f>
        <v>0.40525967732775825</v>
      </c>
    </row>
    <row r="299" spans="1:27" ht="16.5" customHeight="1" thickBot="1" x14ac:dyDescent="0.3">
      <c r="A299" s="36" t="s">
        <v>274</v>
      </c>
      <c r="B299" s="102"/>
      <c r="C299" s="38">
        <v>1057</v>
      </c>
      <c r="D299" s="99">
        <f>10</f>
        <v>10</v>
      </c>
      <c r="E299" s="62">
        <f t="shared" si="191"/>
        <v>1067</v>
      </c>
      <c r="F299" s="62">
        <v>4704.62</v>
      </c>
      <c r="G299" s="62">
        <v>0</v>
      </c>
      <c r="H299" s="100">
        <f t="shared" ref="H299" si="196">SUM(E299:G299)</f>
        <v>5771.62</v>
      </c>
      <c r="I299" s="62">
        <v>4065</v>
      </c>
      <c r="J299" s="62">
        <v>0</v>
      </c>
      <c r="K299" s="101">
        <f t="shared" si="179"/>
        <v>9836.619999999999</v>
      </c>
      <c r="L299" s="38">
        <v>1138.99</v>
      </c>
      <c r="M299" s="38">
        <f t="shared" si="192"/>
        <v>-8697.6299999999992</v>
      </c>
      <c r="N299" s="100">
        <f t="shared" si="193"/>
        <v>0.11579078992580787</v>
      </c>
      <c r="O299" s="62">
        <f>0-56</f>
        <v>-56</v>
      </c>
      <c r="P299" s="100">
        <f t="shared" ref="P299" si="197">L299+O299</f>
        <v>1082.99</v>
      </c>
      <c r="Q299" s="62">
        <v>595</v>
      </c>
      <c r="R299" s="100">
        <f>69.5</f>
        <v>69.5</v>
      </c>
      <c r="S299" s="62">
        <f t="shared" ref="S299" si="198">SUM(P299:R299)</f>
        <v>1747.49</v>
      </c>
      <c r="T299" s="62">
        <v>0</v>
      </c>
      <c r="U299" s="62">
        <v>0</v>
      </c>
      <c r="V299" s="64">
        <v>0</v>
      </c>
      <c r="W299" s="194">
        <f t="shared" si="132"/>
        <v>1747.49</v>
      </c>
      <c r="X299" s="38">
        <v>1678.2</v>
      </c>
      <c r="Y299" s="34">
        <f t="shared" si="194"/>
        <v>-69.289999999999964</v>
      </c>
      <c r="Z299" s="203">
        <f t="shared" si="195"/>
        <v>0.96034884319795821</v>
      </c>
    </row>
    <row r="300" spans="1:27" ht="16.5" customHeight="1" thickBot="1" x14ac:dyDescent="0.3">
      <c r="A300" s="144" t="s">
        <v>80</v>
      </c>
      <c r="B300" s="105"/>
      <c r="C300" s="145">
        <f>SUM(C302:C303)</f>
        <v>0</v>
      </c>
      <c r="D300" s="146">
        <f>SUM(D302:D303)</f>
        <v>0</v>
      </c>
      <c r="E300" s="147">
        <f>SUM(C300:D300)</f>
        <v>0</v>
      </c>
      <c r="F300" s="147">
        <f>SUM(F302:F303)</f>
        <v>0</v>
      </c>
      <c r="G300" s="147">
        <f>SUM(G302:G303)</f>
        <v>0</v>
      </c>
      <c r="H300" s="148">
        <f>SUM(H302:H303)</f>
        <v>0</v>
      </c>
      <c r="I300" s="147">
        <f>SUM(I302:I303)</f>
        <v>0</v>
      </c>
      <c r="J300" s="147">
        <f>SUM(J302:J303)</f>
        <v>0</v>
      </c>
      <c r="K300" s="87">
        <f t="shared" si="179"/>
        <v>0</v>
      </c>
      <c r="L300" s="145">
        <f t="shared" ref="L300" si="199">SUM(L302:L303)</f>
        <v>0</v>
      </c>
      <c r="M300" s="145">
        <f>SUM(M302:M303)</f>
        <v>0</v>
      </c>
      <c r="N300" s="148" t="s">
        <v>39</v>
      </c>
      <c r="O300" s="147">
        <f t="shared" ref="O300:T300" si="200">SUM(O302:O303)</f>
        <v>0</v>
      </c>
      <c r="P300" s="149">
        <f t="shared" si="200"/>
        <v>0</v>
      </c>
      <c r="Q300" s="147">
        <f t="shared" si="200"/>
        <v>0</v>
      </c>
      <c r="R300" s="148">
        <f t="shared" si="200"/>
        <v>0</v>
      </c>
      <c r="S300" s="147">
        <f t="shared" si="200"/>
        <v>0</v>
      </c>
      <c r="T300" s="147">
        <f t="shared" si="200"/>
        <v>0</v>
      </c>
      <c r="U300" s="147">
        <f>SUM(U302:U303)</f>
        <v>0</v>
      </c>
      <c r="V300" s="147">
        <f>SUM(V302:V303)</f>
        <v>0</v>
      </c>
      <c r="W300" s="87">
        <f t="shared" si="132"/>
        <v>0</v>
      </c>
      <c r="X300" s="145">
        <f t="shared" ref="X300" si="201">SUM(X302:X303)</f>
        <v>0</v>
      </c>
      <c r="Y300" s="145">
        <f>X300-W300</f>
        <v>0</v>
      </c>
      <c r="Z300" s="222" t="s">
        <v>263</v>
      </c>
      <c r="AA300" s="191"/>
    </row>
    <row r="301" spans="1:27" ht="15" customHeight="1" x14ac:dyDescent="0.25">
      <c r="A301" s="117" t="s">
        <v>47</v>
      </c>
      <c r="B301" s="103"/>
      <c r="C301" s="26"/>
      <c r="D301" s="27"/>
      <c r="E301" s="26"/>
      <c r="F301" s="26"/>
      <c r="G301" s="26"/>
      <c r="H301" s="28"/>
      <c r="I301" s="26"/>
      <c r="J301" s="26"/>
      <c r="K301" s="29"/>
      <c r="L301" s="26"/>
      <c r="M301" s="26"/>
      <c r="N301" s="60"/>
      <c r="O301" s="59"/>
      <c r="P301" s="60"/>
      <c r="Q301" s="59"/>
      <c r="R301" s="60"/>
      <c r="S301" s="59"/>
      <c r="T301" s="59"/>
      <c r="U301" s="59"/>
      <c r="V301" s="59"/>
      <c r="W301" s="29"/>
      <c r="X301" s="26"/>
      <c r="Y301" s="26"/>
      <c r="Z301" s="207"/>
    </row>
    <row r="302" spans="1:27" ht="17.25" customHeight="1" x14ac:dyDescent="0.25">
      <c r="A302" s="114" t="s">
        <v>260</v>
      </c>
      <c r="B302" s="90"/>
      <c r="C302" s="34">
        <v>0</v>
      </c>
      <c r="D302" s="27">
        <v>0</v>
      </c>
      <c r="E302" s="59">
        <f>SUM(C302:D302)</f>
        <v>0</v>
      </c>
      <c r="F302" s="59">
        <v>0</v>
      </c>
      <c r="G302" s="59">
        <v>0</v>
      </c>
      <c r="H302" s="60">
        <f>SUM(E302:G302)</f>
        <v>0</v>
      </c>
      <c r="I302" s="59">
        <v>0</v>
      </c>
      <c r="J302" s="59">
        <v>0</v>
      </c>
      <c r="K302" s="29">
        <f t="shared" si="179"/>
        <v>0</v>
      </c>
      <c r="L302" s="34">
        <v>0</v>
      </c>
      <c r="M302" s="34">
        <f>L302-K302</f>
        <v>0</v>
      </c>
      <c r="N302" s="92" t="s">
        <v>39</v>
      </c>
      <c r="O302" s="57">
        <v>0</v>
      </c>
      <c r="P302" s="92">
        <f>L302+O302</f>
        <v>0</v>
      </c>
      <c r="Q302" s="57">
        <v>0</v>
      </c>
      <c r="R302" s="92">
        <v>0</v>
      </c>
      <c r="S302" s="57">
        <f>SUM(P302:R302)</f>
        <v>0</v>
      </c>
      <c r="T302" s="57">
        <v>0</v>
      </c>
      <c r="U302" s="57">
        <v>0</v>
      </c>
      <c r="V302" s="59">
        <v>0</v>
      </c>
      <c r="W302" s="29">
        <f t="shared" si="132"/>
        <v>0</v>
      </c>
      <c r="X302" s="34">
        <v>0</v>
      </c>
      <c r="Y302" s="34">
        <f>X302-W302</f>
        <v>0</v>
      </c>
      <c r="Z302" s="212" t="s">
        <v>263</v>
      </c>
    </row>
    <row r="303" spans="1:27" ht="17.25" customHeight="1" thickBot="1" x14ac:dyDescent="0.3">
      <c r="A303" s="229" t="s">
        <v>275</v>
      </c>
      <c r="B303" s="230"/>
      <c r="C303" s="231">
        <v>0</v>
      </c>
      <c r="D303" s="232">
        <v>0</v>
      </c>
      <c r="E303" s="236">
        <f>SUM(C303:D303)</f>
        <v>0</v>
      </c>
      <c r="F303" s="236">
        <v>0</v>
      </c>
      <c r="G303" s="236">
        <v>0</v>
      </c>
      <c r="H303" s="235">
        <f>SUM(E303:G303)</f>
        <v>0</v>
      </c>
      <c r="I303" s="236">
        <v>0</v>
      </c>
      <c r="J303" s="236">
        <v>0</v>
      </c>
      <c r="K303" s="234">
        <f t="shared" si="179"/>
        <v>0</v>
      </c>
      <c r="L303" s="231">
        <v>0</v>
      </c>
      <c r="M303" s="231">
        <f>L303-K303</f>
        <v>0</v>
      </c>
      <c r="N303" s="235" t="s">
        <v>39</v>
      </c>
      <c r="O303" s="236">
        <v>0</v>
      </c>
      <c r="P303" s="235">
        <f>L303+O303</f>
        <v>0</v>
      </c>
      <c r="Q303" s="236">
        <v>0</v>
      </c>
      <c r="R303" s="235">
        <v>0</v>
      </c>
      <c r="S303" s="236">
        <f>SUM(P303:R303)</f>
        <v>0</v>
      </c>
      <c r="T303" s="236">
        <v>0</v>
      </c>
      <c r="U303" s="236">
        <v>0</v>
      </c>
      <c r="V303" s="236">
        <v>0</v>
      </c>
      <c r="W303" s="234">
        <f t="shared" si="132"/>
        <v>0</v>
      </c>
      <c r="X303" s="231">
        <v>0</v>
      </c>
      <c r="Y303" s="231">
        <f>X303-W303</f>
        <v>0</v>
      </c>
      <c r="Z303" s="237" t="s">
        <v>263</v>
      </c>
    </row>
    <row r="304" spans="1:27" ht="15.75" customHeight="1" thickBot="1" x14ac:dyDescent="0.3">
      <c r="A304" s="116" t="s">
        <v>83</v>
      </c>
      <c r="B304" s="109"/>
      <c r="C304" s="84">
        <f>SUM(C306:C321)</f>
        <v>0</v>
      </c>
      <c r="D304" s="85">
        <f>SUM(D306:D321)</f>
        <v>380</v>
      </c>
      <c r="E304" s="84">
        <f>SUM(C304:D304)</f>
        <v>380</v>
      </c>
      <c r="F304" s="84">
        <f>SUM(F306:F321)</f>
        <v>0</v>
      </c>
      <c r="G304" s="84">
        <f>SUM(G306:G321)</f>
        <v>1400</v>
      </c>
      <c r="H304" s="86">
        <f>SUM(H306:H321)</f>
        <v>1780</v>
      </c>
      <c r="I304" s="84">
        <f>SUM(I306:I321)</f>
        <v>0</v>
      </c>
      <c r="J304" s="84">
        <f>SUM(J306:J321)</f>
        <v>0</v>
      </c>
      <c r="K304" s="87">
        <f t="shared" si="179"/>
        <v>1780</v>
      </c>
      <c r="L304" s="84">
        <f>SUM(L306:L321)</f>
        <v>3048</v>
      </c>
      <c r="M304" s="84">
        <f>SUM(M306:M321)</f>
        <v>1268</v>
      </c>
      <c r="N304" s="86">
        <f>L304/K304</f>
        <v>1.7123595505617977</v>
      </c>
      <c r="O304" s="84">
        <f>SUM(O306:O312)</f>
        <v>0</v>
      </c>
      <c r="P304" s="87">
        <f t="shared" ref="P304:T304" si="202">SUM(P306:P321)</f>
        <v>3048</v>
      </c>
      <c r="Q304" s="84">
        <f t="shared" si="202"/>
        <v>3715</v>
      </c>
      <c r="R304" s="86">
        <f t="shared" si="202"/>
        <v>110</v>
      </c>
      <c r="S304" s="84">
        <f t="shared" si="202"/>
        <v>6873</v>
      </c>
      <c r="T304" s="84">
        <f t="shared" si="202"/>
        <v>815.35</v>
      </c>
      <c r="U304" s="84">
        <f>SUM(U306:U321)</f>
        <v>0</v>
      </c>
      <c r="V304" s="84">
        <f>SUM(V306:V321)</f>
        <v>171</v>
      </c>
      <c r="W304" s="87">
        <f t="shared" si="132"/>
        <v>7859.35</v>
      </c>
      <c r="X304" s="84">
        <f t="shared" ref="X304" si="203">SUM(X306:X321)</f>
        <v>2850</v>
      </c>
      <c r="Y304" s="84">
        <f>X304-W304</f>
        <v>-5009.3500000000004</v>
      </c>
      <c r="Z304" s="211">
        <f>X304/W304</f>
        <v>0.36262540795358394</v>
      </c>
      <c r="AA304" s="191"/>
    </row>
    <row r="305" spans="1:26" ht="15.75" customHeight="1" x14ac:dyDescent="0.25">
      <c r="A305" s="117" t="s">
        <v>47</v>
      </c>
      <c r="B305" s="103"/>
      <c r="C305" s="26"/>
      <c r="D305" s="27"/>
      <c r="E305" s="26"/>
      <c r="F305" s="26"/>
      <c r="G305" s="26"/>
      <c r="H305" s="28"/>
      <c r="I305" s="26"/>
      <c r="J305" s="26"/>
      <c r="K305" s="29"/>
      <c r="L305" s="26"/>
      <c r="M305" s="26"/>
      <c r="N305" s="28"/>
      <c r="O305" s="26"/>
      <c r="P305" s="28"/>
      <c r="Q305" s="26"/>
      <c r="R305" s="28"/>
      <c r="S305" s="26"/>
      <c r="T305" s="26"/>
      <c r="U305" s="26"/>
      <c r="V305" s="26"/>
      <c r="W305" s="29"/>
      <c r="X305" s="26"/>
      <c r="Y305" s="26"/>
      <c r="Z305" s="203"/>
    </row>
    <row r="306" spans="1:26" ht="16.5" customHeight="1" x14ac:dyDescent="0.25">
      <c r="A306" s="114" t="s">
        <v>276</v>
      </c>
      <c r="B306" s="90"/>
      <c r="C306" s="34">
        <v>0</v>
      </c>
      <c r="D306" s="27">
        <v>0</v>
      </c>
      <c r="E306" s="26">
        <f>SUM(C306:D306)</f>
        <v>0</v>
      </c>
      <c r="F306" s="26">
        <v>0</v>
      </c>
      <c r="G306" s="26">
        <v>0</v>
      </c>
      <c r="H306" s="28">
        <f>SUM(E306:G306)</f>
        <v>0</v>
      </c>
      <c r="I306" s="26">
        <v>0</v>
      </c>
      <c r="J306" s="26">
        <v>0</v>
      </c>
      <c r="K306" s="29">
        <f t="shared" si="179"/>
        <v>0</v>
      </c>
      <c r="L306" s="34">
        <v>0</v>
      </c>
      <c r="M306" s="34">
        <f>L306-K306</f>
        <v>0</v>
      </c>
      <c r="N306" s="92" t="s">
        <v>39</v>
      </c>
      <c r="O306" s="57">
        <v>0</v>
      </c>
      <c r="P306" s="92">
        <f>L306+O306</f>
        <v>0</v>
      </c>
      <c r="Q306" s="57">
        <v>0</v>
      </c>
      <c r="R306" s="92">
        <v>0</v>
      </c>
      <c r="S306" s="57">
        <f>SUM(P306:R306)</f>
        <v>0</v>
      </c>
      <c r="T306" s="57">
        <v>0</v>
      </c>
      <c r="U306" s="57">
        <v>0</v>
      </c>
      <c r="V306" s="59">
        <v>0</v>
      </c>
      <c r="W306" s="29">
        <f t="shared" si="132"/>
        <v>0</v>
      </c>
      <c r="X306" s="57" t="s">
        <v>263</v>
      </c>
      <c r="Y306" s="57" t="s">
        <v>263</v>
      </c>
      <c r="Z306" s="212" t="s">
        <v>263</v>
      </c>
    </row>
    <row r="307" spans="1:26" ht="16.5" customHeight="1" x14ac:dyDescent="0.25">
      <c r="A307" s="114" t="s">
        <v>260</v>
      </c>
      <c r="B307" s="90"/>
      <c r="C307" s="34">
        <v>0</v>
      </c>
      <c r="D307" s="27">
        <f>380</f>
        <v>380</v>
      </c>
      <c r="E307" s="26">
        <f t="shared" ref="E307:E321" si="204">SUM(C307:D307)</f>
        <v>380</v>
      </c>
      <c r="F307" s="26">
        <v>0</v>
      </c>
      <c r="G307" s="26">
        <f>1400</f>
        <v>1400</v>
      </c>
      <c r="H307" s="28">
        <f t="shared" ref="H307:H321" si="205">SUM(E307:G307)</f>
        <v>1780</v>
      </c>
      <c r="I307" s="26">
        <v>0</v>
      </c>
      <c r="J307" s="26">
        <v>0</v>
      </c>
      <c r="K307" s="29">
        <f t="shared" si="179"/>
        <v>1780</v>
      </c>
      <c r="L307" s="34">
        <v>2498</v>
      </c>
      <c r="M307" s="34">
        <f t="shared" ref="M307:M321" si="206">L307-K307</f>
        <v>718</v>
      </c>
      <c r="N307" s="92">
        <f t="shared" ref="N307" si="207">L307/K307</f>
        <v>1.4033707865168539</v>
      </c>
      <c r="O307" s="57">
        <v>0</v>
      </c>
      <c r="P307" s="92">
        <f t="shared" ref="P307:P321" si="208">L307+O307</f>
        <v>2498</v>
      </c>
      <c r="Q307" s="57">
        <v>1000</v>
      </c>
      <c r="R307" s="92">
        <f>45+65</f>
        <v>110</v>
      </c>
      <c r="S307" s="57">
        <f t="shared" ref="S307:S318" si="209">SUM(P307:R307)</f>
        <v>3608</v>
      </c>
      <c r="T307" s="57">
        <v>0</v>
      </c>
      <c r="U307" s="57">
        <v>0</v>
      </c>
      <c r="V307" s="59">
        <v>0</v>
      </c>
      <c r="W307" s="29">
        <f t="shared" si="132"/>
        <v>3608</v>
      </c>
      <c r="X307" s="34">
        <v>2850</v>
      </c>
      <c r="Y307" s="34">
        <f>X307-W307</f>
        <v>-758</v>
      </c>
      <c r="Z307" s="213">
        <f>X307/W307</f>
        <v>0.78991130820399114</v>
      </c>
    </row>
    <row r="308" spans="1:26" ht="29.25" customHeight="1" x14ac:dyDescent="0.25">
      <c r="A308" s="32" t="s">
        <v>277</v>
      </c>
      <c r="B308" s="90"/>
      <c r="C308" s="34"/>
      <c r="D308" s="27"/>
      <c r="E308" s="26"/>
      <c r="F308" s="26"/>
      <c r="G308" s="26"/>
      <c r="H308" s="28"/>
      <c r="I308" s="26"/>
      <c r="J308" s="26"/>
      <c r="K308" s="29"/>
      <c r="L308" s="34">
        <v>0</v>
      </c>
      <c r="M308" s="34"/>
      <c r="N308" s="92"/>
      <c r="O308" s="57"/>
      <c r="P308" s="92">
        <v>0</v>
      </c>
      <c r="Q308" s="57">
        <v>150</v>
      </c>
      <c r="R308" s="92">
        <v>0</v>
      </c>
      <c r="S308" s="57">
        <f t="shared" si="209"/>
        <v>150</v>
      </c>
      <c r="T308" s="57">
        <v>0</v>
      </c>
      <c r="U308" s="57">
        <v>0</v>
      </c>
      <c r="V308" s="59">
        <v>0</v>
      </c>
      <c r="W308" s="29">
        <f t="shared" si="132"/>
        <v>150</v>
      </c>
      <c r="X308" s="34">
        <v>0</v>
      </c>
      <c r="Y308" s="34">
        <f t="shared" ref="Y308:Y321" si="210">X308-W308</f>
        <v>-150</v>
      </c>
      <c r="Z308" s="213">
        <f t="shared" ref="Z308:Z320" si="211">X308/W308</f>
        <v>0</v>
      </c>
    </row>
    <row r="309" spans="1:26" ht="39" customHeight="1" x14ac:dyDescent="0.25">
      <c r="A309" s="32" t="s">
        <v>278</v>
      </c>
      <c r="B309" s="90"/>
      <c r="C309" s="34"/>
      <c r="D309" s="27"/>
      <c r="E309" s="26"/>
      <c r="F309" s="26"/>
      <c r="G309" s="26"/>
      <c r="H309" s="28"/>
      <c r="I309" s="26"/>
      <c r="J309" s="26"/>
      <c r="K309" s="29"/>
      <c r="L309" s="34">
        <v>0</v>
      </c>
      <c r="M309" s="34"/>
      <c r="N309" s="92"/>
      <c r="O309" s="57"/>
      <c r="P309" s="92"/>
      <c r="Q309" s="57"/>
      <c r="R309" s="92"/>
      <c r="S309" s="57">
        <v>0</v>
      </c>
      <c r="T309" s="57">
        <v>25.35</v>
      </c>
      <c r="U309" s="57">
        <v>0</v>
      </c>
      <c r="V309" s="59">
        <v>0</v>
      </c>
      <c r="W309" s="29">
        <f t="shared" si="132"/>
        <v>25.35</v>
      </c>
      <c r="X309" s="34">
        <v>0</v>
      </c>
      <c r="Y309" s="34">
        <f t="shared" si="210"/>
        <v>-25.35</v>
      </c>
      <c r="Z309" s="213">
        <f t="shared" si="211"/>
        <v>0</v>
      </c>
    </row>
    <row r="310" spans="1:26" ht="28.5" customHeight="1" x14ac:dyDescent="0.25">
      <c r="A310" s="32" t="s">
        <v>279</v>
      </c>
      <c r="B310" s="90"/>
      <c r="C310" s="34"/>
      <c r="D310" s="27"/>
      <c r="E310" s="26"/>
      <c r="F310" s="26"/>
      <c r="G310" s="26"/>
      <c r="H310" s="28"/>
      <c r="I310" s="26"/>
      <c r="J310" s="26"/>
      <c r="K310" s="29"/>
      <c r="L310" s="34">
        <v>0</v>
      </c>
      <c r="M310" s="34"/>
      <c r="N310" s="92"/>
      <c r="O310" s="57"/>
      <c r="P310" s="92"/>
      <c r="Q310" s="57"/>
      <c r="R310" s="92"/>
      <c r="S310" s="57">
        <v>0</v>
      </c>
      <c r="T310" s="57">
        <v>290</v>
      </c>
      <c r="U310" s="57">
        <v>0</v>
      </c>
      <c r="V310" s="59">
        <v>0</v>
      </c>
      <c r="W310" s="29">
        <f t="shared" si="132"/>
        <v>290</v>
      </c>
      <c r="X310" s="34">
        <v>0</v>
      </c>
      <c r="Y310" s="34">
        <f t="shared" si="210"/>
        <v>-290</v>
      </c>
      <c r="Z310" s="213">
        <f t="shared" si="211"/>
        <v>0</v>
      </c>
    </row>
    <row r="311" spans="1:26" ht="27" customHeight="1" x14ac:dyDescent="0.25">
      <c r="A311" s="32" t="s">
        <v>280</v>
      </c>
      <c r="B311" s="90"/>
      <c r="C311" s="34"/>
      <c r="D311" s="27"/>
      <c r="E311" s="26"/>
      <c r="F311" s="26"/>
      <c r="G311" s="26"/>
      <c r="H311" s="28"/>
      <c r="I311" s="26"/>
      <c r="J311" s="26"/>
      <c r="K311" s="29"/>
      <c r="L311" s="34">
        <v>0</v>
      </c>
      <c r="M311" s="34"/>
      <c r="N311" s="92"/>
      <c r="O311" s="57"/>
      <c r="P311" s="92">
        <v>0</v>
      </c>
      <c r="Q311" s="57">
        <v>500</v>
      </c>
      <c r="R311" s="92">
        <v>0</v>
      </c>
      <c r="S311" s="57">
        <f t="shared" si="209"/>
        <v>500</v>
      </c>
      <c r="T311" s="57">
        <v>0</v>
      </c>
      <c r="U311" s="57">
        <v>0</v>
      </c>
      <c r="V311" s="59">
        <v>0</v>
      </c>
      <c r="W311" s="29">
        <f t="shared" ref="W311:W379" si="212">SUM(S311:V311)</f>
        <v>500</v>
      </c>
      <c r="X311" s="34">
        <v>0</v>
      </c>
      <c r="Y311" s="34">
        <f t="shared" si="210"/>
        <v>-500</v>
      </c>
      <c r="Z311" s="213">
        <f t="shared" si="211"/>
        <v>0</v>
      </c>
    </row>
    <row r="312" spans="1:26" ht="27.6" customHeight="1" x14ac:dyDescent="0.25">
      <c r="A312" s="32" t="s">
        <v>281</v>
      </c>
      <c r="B312" s="113"/>
      <c r="C312" s="34">
        <v>0</v>
      </c>
      <c r="D312" s="27"/>
      <c r="E312" s="26"/>
      <c r="F312" s="26"/>
      <c r="G312" s="26"/>
      <c r="H312" s="28"/>
      <c r="I312" s="26"/>
      <c r="J312" s="26"/>
      <c r="K312" s="29">
        <v>0</v>
      </c>
      <c r="L312" s="34">
        <v>550</v>
      </c>
      <c r="M312" s="34">
        <f t="shared" si="206"/>
        <v>550</v>
      </c>
      <c r="N312" s="92" t="s">
        <v>39</v>
      </c>
      <c r="O312" s="57">
        <v>0</v>
      </c>
      <c r="P312" s="92">
        <f t="shared" si="208"/>
        <v>550</v>
      </c>
      <c r="Q312" s="57">
        <v>0</v>
      </c>
      <c r="R312" s="92">
        <v>0</v>
      </c>
      <c r="S312" s="57">
        <f t="shared" si="209"/>
        <v>550</v>
      </c>
      <c r="T312" s="57">
        <v>0</v>
      </c>
      <c r="U312" s="57">
        <v>0</v>
      </c>
      <c r="V312" s="59">
        <v>0</v>
      </c>
      <c r="W312" s="29">
        <f t="shared" si="212"/>
        <v>550</v>
      </c>
      <c r="X312" s="34">
        <v>0</v>
      </c>
      <c r="Y312" s="34">
        <f t="shared" si="210"/>
        <v>-550</v>
      </c>
      <c r="Z312" s="213">
        <f t="shared" si="211"/>
        <v>0</v>
      </c>
    </row>
    <row r="313" spans="1:26" ht="30" customHeight="1" x14ac:dyDescent="0.25">
      <c r="A313" s="36" t="s">
        <v>282</v>
      </c>
      <c r="B313" s="123"/>
      <c r="C313" s="38"/>
      <c r="D313" s="39"/>
      <c r="E313" s="40"/>
      <c r="F313" s="40"/>
      <c r="G313" s="40"/>
      <c r="H313" s="41"/>
      <c r="I313" s="40"/>
      <c r="J313" s="40"/>
      <c r="K313" s="194"/>
      <c r="L313" s="38">
        <v>0</v>
      </c>
      <c r="M313" s="38"/>
      <c r="N313" s="100"/>
      <c r="O313" s="64"/>
      <c r="P313" s="100">
        <v>0</v>
      </c>
      <c r="Q313" s="57">
        <v>600</v>
      </c>
      <c r="R313" s="92">
        <v>0</v>
      </c>
      <c r="S313" s="57">
        <f t="shared" si="209"/>
        <v>600</v>
      </c>
      <c r="T313" s="57">
        <v>0</v>
      </c>
      <c r="U313" s="57">
        <v>0</v>
      </c>
      <c r="V313" s="59">
        <v>0</v>
      </c>
      <c r="W313" s="29">
        <f t="shared" si="212"/>
        <v>600</v>
      </c>
      <c r="X313" s="38">
        <v>0</v>
      </c>
      <c r="Y313" s="34">
        <f t="shared" si="210"/>
        <v>-600</v>
      </c>
      <c r="Z313" s="213">
        <f t="shared" si="211"/>
        <v>0</v>
      </c>
    </row>
    <row r="314" spans="1:26" ht="26.25" customHeight="1" x14ac:dyDescent="0.25">
      <c r="A314" s="32" t="s">
        <v>283</v>
      </c>
      <c r="B314" s="113"/>
      <c r="C314" s="34"/>
      <c r="D314" s="27"/>
      <c r="E314" s="26"/>
      <c r="F314" s="26"/>
      <c r="G314" s="26"/>
      <c r="H314" s="28"/>
      <c r="I314" s="26"/>
      <c r="J314" s="26"/>
      <c r="K314" s="29"/>
      <c r="L314" s="34">
        <v>0</v>
      </c>
      <c r="M314" s="34"/>
      <c r="N314" s="92"/>
      <c r="O314" s="59"/>
      <c r="P314" s="92">
        <v>0</v>
      </c>
      <c r="Q314" s="59">
        <v>115</v>
      </c>
      <c r="R314" s="59">
        <v>0</v>
      </c>
      <c r="S314" s="57">
        <f t="shared" si="209"/>
        <v>115</v>
      </c>
      <c r="T314" s="57">
        <v>0</v>
      </c>
      <c r="U314" s="57">
        <v>0</v>
      </c>
      <c r="V314" s="59">
        <v>0</v>
      </c>
      <c r="W314" s="29">
        <f t="shared" si="212"/>
        <v>115</v>
      </c>
      <c r="X314" s="34">
        <v>0</v>
      </c>
      <c r="Y314" s="34">
        <f t="shared" si="210"/>
        <v>-115</v>
      </c>
      <c r="Z314" s="213">
        <f t="shared" si="211"/>
        <v>0</v>
      </c>
    </row>
    <row r="315" spans="1:26" ht="27" customHeight="1" x14ac:dyDescent="0.25">
      <c r="A315" s="49" t="s">
        <v>284</v>
      </c>
      <c r="B315" s="150"/>
      <c r="C315" s="40"/>
      <c r="D315" s="39"/>
      <c r="E315" s="40"/>
      <c r="F315" s="40"/>
      <c r="G315" s="40"/>
      <c r="H315" s="41"/>
      <c r="I315" s="40"/>
      <c r="J315" s="40"/>
      <c r="K315" s="194"/>
      <c r="L315" s="40">
        <v>0</v>
      </c>
      <c r="M315" s="40"/>
      <c r="N315" s="96"/>
      <c r="O315" s="64"/>
      <c r="P315" s="96">
        <v>0</v>
      </c>
      <c r="Q315" s="59">
        <v>200</v>
      </c>
      <c r="R315" s="60">
        <v>0</v>
      </c>
      <c r="S315" s="57">
        <f t="shared" si="209"/>
        <v>200</v>
      </c>
      <c r="T315" s="57">
        <v>0</v>
      </c>
      <c r="U315" s="57">
        <v>0</v>
      </c>
      <c r="V315" s="59">
        <v>0</v>
      </c>
      <c r="W315" s="29">
        <f t="shared" si="212"/>
        <v>200</v>
      </c>
      <c r="X315" s="40">
        <v>0</v>
      </c>
      <c r="Y315" s="34">
        <f t="shared" si="210"/>
        <v>-200</v>
      </c>
      <c r="Z315" s="213">
        <f t="shared" si="211"/>
        <v>0</v>
      </c>
    </row>
    <row r="316" spans="1:26" ht="27.6" customHeight="1" x14ac:dyDescent="0.25">
      <c r="A316" s="36" t="s">
        <v>285</v>
      </c>
      <c r="B316" s="123"/>
      <c r="C316" s="38"/>
      <c r="D316" s="39"/>
      <c r="E316" s="40"/>
      <c r="F316" s="40"/>
      <c r="G316" s="40"/>
      <c r="H316" s="41"/>
      <c r="I316" s="40"/>
      <c r="J316" s="40"/>
      <c r="K316" s="194"/>
      <c r="L316" s="38">
        <v>0</v>
      </c>
      <c r="M316" s="38"/>
      <c r="N316" s="100"/>
      <c r="O316" s="64"/>
      <c r="P316" s="100">
        <v>0</v>
      </c>
      <c r="Q316" s="59">
        <v>300</v>
      </c>
      <c r="R316" s="60">
        <v>0</v>
      </c>
      <c r="S316" s="57">
        <f t="shared" si="209"/>
        <v>300</v>
      </c>
      <c r="T316" s="57">
        <v>0</v>
      </c>
      <c r="U316" s="57">
        <v>0</v>
      </c>
      <c r="V316" s="59">
        <v>0</v>
      </c>
      <c r="W316" s="29">
        <f t="shared" si="212"/>
        <v>300</v>
      </c>
      <c r="X316" s="38">
        <v>0</v>
      </c>
      <c r="Y316" s="34">
        <f t="shared" si="210"/>
        <v>-300</v>
      </c>
      <c r="Z316" s="213">
        <f t="shared" si="211"/>
        <v>0</v>
      </c>
    </row>
    <row r="317" spans="1:26" ht="26.25" customHeight="1" x14ac:dyDescent="0.25">
      <c r="A317" s="32" t="s">
        <v>286</v>
      </c>
      <c r="B317" s="113"/>
      <c r="C317" s="34"/>
      <c r="D317" s="27"/>
      <c r="E317" s="26"/>
      <c r="F317" s="26"/>
      <c r="G317" s="26"/>
      <c r="H317" s="28"/>
      <c r="I317" s="26"/>
      <c r="J317" s="26"/>
      <c r="K317" s="29"/>
      <c r="L317" s="34">
        <v>0</v>
      </c>
      <c r="M317" s="34"/>
      <c r="N317" s="92"/>
      <c r="O317" s="59"/>
      <c r="P317" s="92">
        <v>0</v>
      </c>
      <c r="Q317" s="59">
        <v>100</v>
      </c>
      <c r="R317" s="60">
        <v>0</v>
      </c>
      <c r="S317" s="57">
        <f t="shared" si="209"/>
        <v>100</v>
      </c>
      <c r="T317" s="57">
        <v>0</v>
      </c>
      <c r="U317" s="57">
        <v>0</v>
      </c>
      <c r="V317" s="59">
        <v>0</v>
      </c>
      <c r="W317" s="29">
        <f t="shared" si="212"/>
        <v>100</v>
      </c>
      <c r="X317" s="34">
        <v>0</v>
      </c>
      <c r="Y317" s="34">
        <f t="shared" si="210"/>
        <v>-100</v>
      </c>
      <c r="Z317" s="213">
        <f t="shared" si="211"/>
        <v>0</v>
      </c>
    </row>
    <row r="318" spans="1:26" ht="27.75" customHeight="1" x14ac:dyDescent="0.25">
      <c r="A318" s="32" t="s">
        <v>287</v>
      </c>
      <c r="B318" s="113"/>
      <c r="C318" s="34"/>
      <c r="D318" s="91"/>
      <c r="E318" s="34"/>
      <c r="F318" s="34"/>
      <c r="G318" s="34"/>
      <c r="H318" s="35"/>
      <c r="I318" s="34"/>
      <c r="J318" s="34"/>
      <c r="K318" s="93"/>
      <c r="L318" s="34">
        <v>0</v>
      </c>
      <c r="M318" s="34"/>
      <c r="N318" s="92"/>
      <c r="O318" s="57"/>
      <c r="P318" s="92">
        <v>0</v>
      </c>
      <c r="Q318" s="57">
        <v>750</v>
      </c>
      <c r="R318" s="92">
        <v>0</v>
      </c>
      <c r="S318" s="57">
        <f t="shared" si="209"/>
        <v>750</v>
      </c>
      <c r="T318" s="57">
        <v>0</v>
      </c>
      <c r="U318" s="57">
        <v>0</v>
      </c>
      <c r="V318" s="59">
        <v>0</v>
      </c>
      <c r="W318" s="29">
        <f t="shared" si="212"/>
        <v>750</v>
      </c>
      <c r="X318" s="34">
        <v>0</v>
      </c>
      <c r="Y318" s="34">
        <f t="shared" si="210"/>
        <v>-750</v>
      </c>
      <c r="Z318" s="213">
        <f t="shared" si="211"/>
        <v>0</v>
      </c>
    </row>
    <row r="319" spans="1:26" ht="27.75" customHeight="1" x14ac:dyDescent="0.25">
      <c r="A319" s="32" t="s">
        <v>288</v>
      </c>
      <c r="B319" s="113"/>
      <c r="C319" s="34"/>
      <c r="D319" s="91"/>
      <c r="E319" s="34"/>
      <c r="F319" s="34"/>
      <c r="G319" s="34"/>
      <c r="H319" s="35"/>
      <c r="I319" s="34"/>
      <c r="J319" s="34"/>
      <c r="K319" s="93"/>
      <c r="L319" s="34">
        <v>0</v>
      </c>
      <c r="M319" s="34"/>
      <c r="N319" s="92"/>
      <c r="O319" s="57"/>
      <c r="P319" s="92"/>
      <c r="Q319" s="57"/>
      <c r="R319" s="92"/>
      <c r="S319" s="57">
        <v>0</v>
      </c>
      <c r="T319" s="57">
        <v>500</v>
      </c>
      <c r="U319" s="57">
        <v>0</v>
      </c>
      <c r="V319" s="59">
        <v>0</v>
      </c>
      <c r="W319" s="29">
        <f t="shared" si="212"/>
        <v>500</v>
      </c>
      <c r="X319" s="34">
        <v>0</v>
      </c>
      <c r="Y319" s="34">
        <f t="shared" si="210"/>
        <v>-500</v>
      </c>
      <c r="Z319" s="213">
        <f t="shared" si="211"/>
        <v>0</v>
      </c>
    </row>
    <row r="320" spans="1:26" ht="38.25" customHeight="1" x14ac:dyDescent="0.25">
      <c r="A320" s="32" t="s">
        <v>289</v>
      </c>
      <c r="B320" s="113"/>
      <c r="C320" s="34"/>
      <c r="D320" s="91"/>
      <c r="E320" s="34"/>
      <c r="F320" s="34"/>
      <c r="G320" s="34"/>
      <c r="H320" s="35"/>
      <c r="I320" s="34"/>
      <c r="J320" s="34"/>
      <c r="K320" s="93"/>
      <c r="L320" s="34">
        <v>0</v>
      </c>
      <c r="M320" s="34"/>
      <c r="N320" s="92"/>
      <c r="O320" s="57"/>
      <c r="P320" s="92"/>
      <c r="Q320" s="57"/>
      <c r="R320" s="92"/>
      <c r="S320" s="57">
        <v>0</v>
      </c>
      <c r="T320" s="57">
        <v>0</v>
      </c>
      <c r="U320" s="57">
        <v>0</v>
      </c>
      <c r="V320" s="57">
        <f>171</f>
        <v>171</v>
      </c>
      <c r="W320" s="93">
        <f>SUM(S320:V320)</f>
        <v>171</v>
      </c>
      <c r="X320" s="34">
        <v>0</v>
      </c>
      <c r="Y320" s="34">
        <f t="shared" si="210"/>
        <v>-171</v>
      </c>
      <c r="Z320" s="213">
        <f t="shared" si="211"/>
        <v>0</v>
      </c>
    </row>
    <row r="321" spans="1:27" ht="14.25" customHeight="1" thickBot="1" x14ac:dyDescent="0.3">
      <c r="A321" s="229" t="s">
        <v>290</v>
      </c>
      <c r="B321" s="230"/>
      <c r="C321" s="231">
        <v>0</v>
      </c>
      <c r="D321" s="232">
        <v>0</v>
      </c>
      <c r="E321" s="231">
        <f t="shared" si="204"/>
        <v>0</v>
      </c>
      <c r="F321" s="231">
        <v>0</v>
      </c>
      <c r="G321" s="231">
        <v>0</v>
      </c>
      <c r="H321" s="233">
        <f t="shared" si="205"/>
        <v>0</v>
      </c>
      <c r="I321" s="231">
        <v>0</v>
      </c>
      <c r="J321" s="231">
        <v>0</v>
      </c>
      <c r="K321" s="234">
        <f t="shared" si="179"/>
        <v>0</v>
      </c>
      <c r="L321" s="231">
        <v>0</v>
      </c>
      <c r="M321" s="231">
        <f t="shared" si="206"/>
        <v>0</v>
      </c>
      <c r="N321" s="235" t="s">
        <v>39</v>
      </c>
      <c r="O321" s="236">
        <v>0</v>
      </c>
      <c r="P321" s="235">
        <f t="shared" si="208"/>
        <v>0</v>
      </c>
      <c r="Q321" s="236">
        <v>0</v>
      </c>
      <c r="R321" s="235">
        <v>0</v>
      </c>
      <c r="S321" s="236">
        <f>SUM(P321:R321)</f>
        <v>0</v>
      </c>
      <c r="T321" s="236">
        <v>0</v>
      </c>
      <c r="U321" s="236">
        <v>0</v>
      </c>
      <c r="V321" s="236">
        <v>0</v>
      </c>
      <c r="W321" s="234">
        <f t="shared" si="212"/>
        <v>0</v>
      </c>
      <c r="X321" s="231">
        <v>0</v>
      </c>
      <c r="Y321" s="231">
        <f t="shared" si="210"/>
        <v>0</v>
      </c>
      <c r="Z321" s="237" t="s">
        <v>263</v>
      </c>
    </row>
    <row r="322" spans="1:27" ht="16.350000000000001" customHeight="1" thickBot="1" x14ac:dyDescent="0.3">
      <c r="A322" s="116" t="s">
        <v>159</v>
      </c>
      <c r="B322" s="109"/>
      <c r="C322" s="84">
        <f>SUM(C324:C326)</f>
        <v>3390</v>
      </c>
      <c r="D322" s="85">
        <f>SUM(D324:D326)</f>
        <v>0</v>
      </c>
      <c r="E322" s="84">
        <f>SUM(C322:D322)</f>
        <v>3390</v>
      </c>
      <c r="F322" s="84">
        <f>SUM(F324:F326)</f>
        <v>4156</v>
      </c>
      <c r="G322" s="84">
        <f>SUM(G324:G326)</f>
        <v>300</v>
      </c>
      <c r="H322" s="86">
        <f>SUM(H324:H326)</f>
        <v>7846</v>
      </c>
      <c r="I322" s="84">
        <f>SUM(I324:I326)</f>
        <v>2300</v>
      </c>
      <c r="J322" s="84">
        <f>SUM(J324:J326)</f>
        <v>4665</v>
      </c>
      <c r="K322" s="87">
        <f t="shared" si="179"/>
        <v>14811</v>
      </c>
      <c r="L322" s="84">
        <f t="shared" ref="L322" si="213">SUM(L324:L326)</f>
        <v>19728</v>
      </c>
      <c r="M322" s="84">
        <f>SUM(M324:M326)</f>
        <v>4917</v>
      </c>
      <c r="N322" s="142">
        <f>L322/K322</f>
        <v>1.3319829856187968</v>
      </c>
      <c r="O322" s="141">
        <f t="shared" ref="O322:T322" si="214">SUM(O324:O326)</f>
        <v>0</v>
      </c>
      <c r="P322" s="143">
        <f t="shared" si="214"/>
        <v>19728</v>
      </c>
      <c r="Q322" s="141">
        <f t="shared" si="214"/>
        <v>8133</v>
      </c>
      <c r="R322" s="142">
        <f t="shared" si="214"/>
        <v>11</v>
      </c>
      <c r="S322" s="141">
        <f t="shared" si="214"/>
        <v>27872</v>
      </c>
      <c r="T322" s="141">
        <f t="shared" si="214"/>
        <v>0</v>
      </c>
      <c r="U322" s="141">
        <f>SUM(U324:U326)</f>
        <v>0</v>
      </c>
      <c r="V322" s="141">
        <f>SUM(V324:V326)</f>
        <v>2809</v>
      </c>
      <c r="W322" s="87">
        <f t="shared" si="212"/>
        <v>30681</v>
      </c>
      <c r="X322" s="84">
        <f t="shared" ref="X322" si="215">SUM(X324:X326)</f>
        <v>46983</v>
      </c>
      <c r="Y322" s="84">
        <f>X322-W322</f>
        <v>16302</v>
      </c>
      <c r="Z322" s="211">
        <f>X322/W322</f>
        <v>1.5313386134741371</v>
      </c>
      <c r="AA322" s="191"/>
    </row>
    <row r="323" spans="1:27" ht="14.25" customHeight="1" x14ac:dyDescent="0.25">
      <c r="A323" s="117" t="s">
        <v>47</v>
      </c>
      <c r="B323" s="103"/>
      <c r="C323" s="26"/>
      <c r="D323" s="27"/>
      <c r="E323" s="26"/>
      <c r="F323" s="26"/>
      <c r="G323" s="26"/>
      <c r="H323" s="28"/>
      <c r="I323" s="26"/>
      <c r="J323" s="26"/>
      <c r="K323" s="29"/>
      <c r="L323" s="26"/>
      <c r="M323" s="26"/>
      <c r="N323" s="60"/>
      <c r="O323" s="59"/>
      <c r="P323" s="60"/>
      <c r="Q323" s="59"/>
      <c r="R323" s="60"/>
      <c r="S323" s="59"/>
      <c r="T323" s="59"/>
      <c r="U323" s="59"/>
      <c r="V323" s="59"/>
      <c r="W323" s="29"/>
      <c r="X323" s="26"/>
      <c r="Y323" s="26"/>
      <c r="Z323" s="203"/>
    </row>
    <row r="324" spans="1:27" ht="25.5" customHeight="1" x14ac:dyDescent="0.25">
      <c r="A324" s="32" t="s">
        <v>291</v>
      </c>
      <c r="B324" s="90"/>
      <c r="C324" s="34">
        <v>0</v>
      </c>
      <c r="D324" s="27">
        <v>0</v>
      </c>
      <c r="E324" s="59">
        <f>SUM(C324:D324)</f>
        <v>0</v>
      </c>
      <c r="F324" s="59">
        <v>0</v>
      </c>
      <c r="G324" s="59">
        <v>0</v>
      </c>
      <c r="H324" s="60">
        <f>SUM(E324:G324)</f>
        <v>0</v>
      </c>
      <c r="I324" s="59">
        <v>0</v>
      </c>
      <c r="J324" s="59">
        <v>0</v>
      </c>
      <c r="K324" s="29">
        <f t="shared" si="179"/>
        <v>0</v>
      </c>
      <c r="L324" s="34">
        <v>0</v>
      </c>
      <c r="M324" s="34">
        <f>L324-K324</f>
        <v>0</v>
      </c>
      <c r="N324" s="92" t="s">
        <v>39</v>
      </c>
      <c r="O324" s="57">
        <v>0</v>
      </c>
      <c r="P324" s="92">
        <f>L324+O324</f>
        <v>0</v>
      </c>
      <c r="Q324" s="57">
        <v>0</v>
      </c>
      <c r="R324" s="92">
        <v>0</v>
      </c>
      <c r="S324" s="57">
        <f>SUM(P324:R324)</f>
        <v>0</v>
      </c>
      <c r="T324" s="57">
        <v>0</v>
      </c>
      <c r="U324" s="57">
        <v>0</v>
      </c>
      <c r="V324" s="59">
        <v>0</v>
      </c>
      <c r="W324" s="29">
        <f t="shared" si="212"/>
        <v>0</v>
      </c>
      <c r="X324" s="57" t="s">
        <v>263</v>
      </c>
      <c r="Y324" s="57" t="s">
        <v>263</v>
      </c>
      <c r="Z324" s="212" t="s">
        <v>263</v>
      </c>
    </row>
    <row r="325" spans="1:27" ht="15" customHeight="1" x14ac:dyDescent="0.25">
      <c r="A325" s="114" t="s">
        <v>260</v>
      </c>
      <c r="B325" s="90"/>
      <c r="C325" s="34">
        <v>3390</v>
      </c>
      <c r="D325" s="27">
        <v>0</v>
      </c>
      <c r="E325" s="59">
        <f t="shared" ref="E325:E326" si="216">SUM(C325:D325)</f>
        <v>3390</v>
      </c>
      <c r="F325" s="59">
        <v>4156</v>
      </c>
      <c r="G325" s="59">
        <f>300</f>
        <v>300</v>
      </c>
      <c r="H325" s="60">
        <f t="shared" ref="H325:H326" si="217">SUM(E325:G325)</f>
        <v>7846</v>
      </c>
      <c r="I325" s="59">
        <v>2300</v>
      </c>
      <c r="J325" s="59">
        <f>130+163+4372</f>
        <v>4665</v>
      </c>
      <c r="K325" s="29">
        <f t="shared" si="179"/>
        <v>14811</v>
      </c>
      <c r="L325" s="34">
        <v>19728</v>
      </c>
      <c r="M325" s="34">
        <f t="shared" ref="M325:M326" si="218">L325-K325</f>
        <v>4917</v>
      </c>
      <c r="N325" s="92">
        <f t="shared" ref="N325" si="219">L325/K325</f>
        <v>1.3319829856187968</v>
      </c>
      <c r="O325" s="57">
        <f>0</f>
        <v>0</v>
      </c>
      <c r="P325" s="92">
        <f t="shared" ref="P325:P326" si="220">L325+O325</f>
        <v>19728</v>
      </c>
      <c r="Q325" s="57">
        <v>8133</v>
      </c>
      <c r="R325" s="92">
        <f>11</f>
        <v>11</v>
      </c>
      <c r="S325" s="57">
        <f t="shared" ref="S325" si="221">SUM(P325:R325)</f>
        <v>27872</v>
      </c>
      <c r="T325" s="57">
        <v>0</v>
      </c>
      <c r="U325" s="57">
        <v>0</v>
      </c>
      <c r="V325" s="59">
        <f>1842+967</f>
        <v>2809</v>
      </c>
      <c r="W325" s="29">
        <f t="shared" si="212"/>
        <v>30681</v>
      </c>
      <c r="X325" s="34">
        <v>46983</v>
      </c>
      <c r="Y325" s="34">
        <f>X325-W325</f>
        <v>16302</v>
      </c>
      <c r="Z325" s="213">
        <f>X325/W325</f>
        <v>1.5313386134741371</v>
      </c>
    </row>
    <row r="326" spans="1:27" ht="27.75" customHeight="1" thickBot="1" x14ac:dyDescent="0.3">
      <c r="A326" s="238" t="s">
        <v>292</v>
      </c>
      <c r="B326" s="230"/>
      <c r="C326" s="231">
        <v>0</v>
      </c>
      <c r="D326" s="232">
        <v>0</v>
      </c>
      <c r="E326" s="236">
        <f t="shared" si="216"/>
        <v>0</v>
      </c>
      <c r="F326" s="236">
        <v>0</v>
      </c>
      <c r="G326" s="236">
        <v>0</v>
      </c>
      <c r="H326" s="235">
        <f t="shared" si="217"/>
        <v>0</v>
      </c>
      <c r="I326" s="236">
        <v>0</v>
      </c>
      <c r="J326" s="236">
        <v>0</v>
      </c>
      <c r="K326" s="234">
        <f t="shared" si="179"/>
        <v>0</v>
      </c>
      <c r="L326" s="231">
        <v>0</v>
      </c>
      <c r="M326" s="231">
        <f t="shared" si="218"/>
        <v>0</v>
      </c>
      <c r="N326" s="235" t="s">
        <v>39</v>
      </c>
      <c r="O326" s="236">
        <v>0</v>
      </c>
      <c r="P326" s="235">
        <f t="shared" si="220"/>
        <v>0</v>
      </c>
      <c r="Q326" s="236">
        <v>0</v>
      </c>
      <c r="R326" s="235">
        <v>0</v>
      </c>
      <c r="S326" s="236">
        <f>SUM(P326:R326)</f>
        <v>0</v>
      </c>
      <c r="T326" s="236">
        <v>0</v>
      </c>
      <c r="U326" s="236">
        <v>0</v>
      </c>
      <c r="V326" s="236">
        <v>0</v>
      </c>
      <c r="W326" s="234">
        <f t="shared" si="212"/>
        <v>0</v>
      </c>
      <c r="X326" s="231">
        <v>0</v>
      </c>
      <c r="Y326" s="231">
        <f>X326-W326</f>
        <v>0</v>
      </c>
      <c r="Z326" s="237" t="s">
        <v>263</v>
      </c>
    </row>
    <row r="327" spans="1:27" ht="17.25" customHeight="1" thickBot="1" x14ac:dyDescent="0.3">
      <c r="A327" s="116" t="s">
        <v>169</v>
      </c>
      <c r="B327" s="109"/>
      <c r="C327" s="84">
        <f>SUM(C329:C336)</f>
        <v>3914.71</v>
      </c>
      <c r="D327" s="85">
        <f>SUM(D329:D336)</f>
        <v>0</v>
      </c>
      <c r="E327" s="84">
        <f>SUM(C327:D327)</f>
        <v>3914.71</v>
      </c>
      <c r="F327" s="84">
        <f>SUM(F329:F336)</f>
        <v>2550</v>
      </c>
      <c r="G327" s="84">
        <f>SUM(G329:G336)</f>
        <v>-110</v>
      </c>
      <c r="H327" s="86">
        <f>SUM(H329:H336)</f>
        <v>6354.71</v>
      </c>
      <c r="I327" s="84">
        <f>SUM(I329:I336)</f>
        <v>1306</v>
      </c>
      <c r="J327" s="84">
        <f>SUM(J329:J336)</f>
        <v>0</v>
      </c>
      <c r="K327" s="87">
        <f t="shared" si="179"/>
        <v>7660.71</v>
      </c>
      <c r="L327" s="84">
        <f>SUM(L329:L336)</f>
        <v>19906.010000000002</v>
      </c>
      <c r="M327" s="84">
        <f>SUM(M329:M336)</f>
        <v>12245.3</v>
      </c>
      <c r="N327" s="86">
        <f>L327/K327</f>
        <v>2.5984549734946243</v>
      </c>
      <c r="O327" s="84">
        <f t="shared" ref="O327:V327" si="222">SUM(O329:O336)</f>
        <v>0</v>
      </c>
      <c r="P327" s="87">
        <f t="shared" si="222"/>
        <v>19906.010000000002</v>
      </c>
      <c r="Q327" s="84">
        <f t="shared" si="222"/>
        <v>1868.48</v>
      </c>
      <c r="R327" s="86">
        <f t="shared" si="222"/>
        <v>0</v>
      </c>
      <c r="S327" s="84">
        <f t="shared" si="222"/>
        <v>21774.489999999998</v>
      </c>
      <c r="T327" s="84">
        <f t="shared" si="222"/>
        <v>-30</v>
      </c>
      <c r="U327" s="84">
        <f t="shared" si="222"/>
        <v>0</v>
      </c>
      <c r="V327" s="84">
        <f t="shared" si="222"/>
        <v>581.34</v>
      </c>
      <c r="W327" s="87">
        <f t="shared" si="212"/>
        <v>22325.829999999998</v>
      </c>
      <c r="X327" s="84">
        <f>SUM(X329:X336)</f>
        <v>24838.940000000002</v>
      </c>
      <c r="Y327" s="84">
        <f>X327-W327</f>
        <v>2513.1100000000042</v>
      </c>
      <c r="Z327" s="211">
        <f>X327/W327</f>
        <v>1.1125651319570204</v>
      </c>
      <c r="AA327" s="191"/>
    </row>
    <row r="328" spans="1:27" ht="16.5" customHeight="1" x14ac:dyDescent="0.25">
      <c r="A328" s="117" t="s">
        <v>47</v>
      </c>
      <c r="B328" s="103"/>
      <c r="C328" s="26"/>
      <c r="D328" s="27"/>
      <c r="E328" s="26"/>
      <c r="F328" s="26"/>
      <c r="G328" s="26"/>
      <c r="H328" s="28"/>
      <c r="I328" s="26"/>
      <c r="J328" s="26"/>
      <c r="K328" s="29"/>
      <c r="L328" s="26"/>
      <c r="M328" s="26"/>
      <c r="N328" s="28"/>
      <c r="O328" s="26"/>
      <c r="P328" s="28"/>
      <c r="Q328" s="26"/>
      <c r="R328" s="28"/>
      <c r="S328" s="26"/>
      <c r="T328" s="26"/>
      <c r="U328" s="26"/>
      <c r="V328" s="26"/>
      <c r="W328" s="29"/>
      <c r="X328" s="26"/>
      <c r="Y328" s="26"/>
      <c r="Z328" s="203"/>
    </row>
    <row r="329" spans="1:27" ht="26.25" customHeight="1" x14ac:dyDescent="0.25">
      <c r="A329" s="32" t="s">
        <v>293</v>
      </c>
      <c r="B329" s="90"/>
      <c r="C329" s="34">
        <v>0</v>
      </c>
      <c r="D329" s="27">
        <v>0</v>
      </c>
      <c r="E329" s="59">
        <f>SUM(C329:D329)</f>
        <v>0</v>
      </c>
      <c r="F329" s="59">
        <v>0</v>
      </c>
      <c r="G329" s="59">
        <v>0</v>
      </c>
      <c r="H329" s="60">
        <f>SUM(E329:G329)</f>
        <v>0</v>
      </c>
      <c r="I329" s="59">
        <v>0</v>
      </c>
      <c r="J329" s="59">
        <v>0</v>
      </c>
      <c r="K329" s="29">
        <f t="shared" si="179"/>
        <v>0</v>
      </c>
      <c r="L329" s="34">
        <v>0</v>
      </c>
      <c r="M329" s="34">
        <f>L329-K329</f>
        <v>0</v>
      </c>
      <c r="N329" s="92" t="s">
        <v>39</v>
      </c>
      <c r="O329" s="57">
        <v>0</v>
      </c>
      <c r="P329" s="92">
        <f>L329+O329</f>
        <v>0</v>
      </c>
      <c r="Q329" s="57">
        <v>295.47000000000003</v>
      </c>
      <c r="R329" s="92">
        <v>0</v>
      </c>
      <c r="S329" s="57">
        <f>SUM(P329:R329)</f>
        <v>295.47000000000003</v>
      </c>
      <c r="T329" s="57">
        <v>0</v>
      </c>
      <c r="U329" s="57">
        <v>0</v>
      </c>
      <c r="V329" s="59">
        <v>0</v>
      </c>
      <c r="W329" s="29">
        <f t="shared" si="212"/>
        <v>295.47000000000003</v>
      </c>
      <c r="X329" s="57" t="s">
        <v>263</v>
      </c>
      <c r="Y329" s="57" t="s">
        <v>263</v>
      </c>
      <c r="Z329" s="212" t="s">
        <v>263</v>
      </c>
    </row>
    <row r="330" spans="1:27" ht="15" customHeight="1" x14ac:dyDescent="0.25">
      <c r="A330" s="114" t="s">
        <v>260</v>
      </c>
      <c r="B330" s="90"/>
      <c r="C330" s="34">
        <v>500</v>
      </c>
      <c r="D330" s="27">
        <v>0</v>
      </c>
      <c r="E330" s="59">
        <f t="shared" ref="E330:E336" si="223">SUM(C330:D330)</f>
        <v>500</v>
      </c>
      <c r="F330" s="59">
        <v>2550</v>
      </c>
      <c r="G330" s="59">
        <f>-110</f>
        <v>-110</v>
      </c>
      <c r="H330" s="60">
        <f t="shared" ref="H330:H336" si="224">SUM(E330:G330)</f>
        <v>2940</v>
      </c>
      <c r="I330" s="59">
        <v>1306</v>
      </c>
      <c r="J330" s="59">
        <v>0</v>
      </c>
      <c r="K330" s="29">
        <f t="shared" si="179"/>
        <v>4246</v>
      </c>
      <c r="L330" s="34">
        <v>3765.6</v>
      </c>
      <c r="M330" s="34">
        <f t="shared" ref="M330:M336" si="225">L330-K330</f>
        <v>-480.40000000000009</v>
      </c>
      <c r="N330" s="92">
        <f>L330/K330</f>
        <v>0.88685821950070653</v>
      </c>
      <c r="O330" s="57">
        <f>0+0</f>
        <v>0</v>
      </c>
      <c r="P330" s="92">
        <f t="shared" ref="P330:P336" si="226">L330+O330</f>
        <v>3765.6</v>
      </c>
      <c r="Q330" s="57">
        <v>1273.01</v>
      </c>
      <c r="R330" s="92">
        <v>0</v>
      </c>
      <c r="S330" s="57">
        <f t="shared" ref="S330:S336" si="227">SUM(P330:R330)</f>
        <v>5038.6099999999997</v>
      </c>
      <c r="T330" s="57">
        <v>0</v>
      </c>
      <c r="U330" s="57">
        <v>0</v>
      </c>
      <c r="V330" s="59">
        <f>161.54+419.8</f>
        <v>581.34</v>
      </c>
      <c r="W330" s="29">
        <f t="shared" si="212"/>
        <v>5619.95</v>
      </c>
      <c r="X330" s="34">
        <v>5283.06</v>
      </c>
      <c r="Y330" s="34">
        <f>X330-W330</f>
        <v>-336.88999999999942</v>
      </c>
      <c r="Z330" s="213">
        <f>X330/W330</f>
        <v>0.94005462682052343</v>
      </c>
    </row>
    <row r="331" spans="1:27" ht="26.25" customHeight="1" x14ac:dyDescent="0.25">
      <c r="A331" s="24" t="s">
        <v>367</v>
      </c>
      <c r="B331" s="102"/>
      <c r="C331" s="38"/>
      <c r="D331" s="99"/>
      <c r="E331" s="62"/>
      <c r="F331" s="62"/>
      <c r="G331" s="62"/>
      <c r="H331" s="100"/>
      <c r="I331" s="62"/>
      <c r="J331" s="62"/>
      <c r="K331" s="101"/>
      <c r="L331" s="38">
        <v>0</v>
      </c>
      <c r="M331" s="38"/>
      <c r="N331" s="100"/>
      <c r="O331" s="62"/>
      <c r="P331" s="100"/>
      <c r="Q331" s="62"/>
      <c r="R331" s="100"/>
      <c r="S331" s="62"/>
      <c r="T331" s="62"/>
      <c r="U331" s="62"/>
      <c r="V331" s="64"/>
      <c r="W331" s="34">
        <v>0</v>
      </c>
      <c r="X331" s="38">
        <v>3000</v>
      </c>
      <c r="Y331" s="34">
        <f t="shared" ref="Y331:Y336" si="228">X331-W331</f>
        <v>3000</v>
      </c>
      <c r="Z331" s="212" t="s">
        <v>263</v>
      </c>
    </row>
    <row r="332" spans="1:27" ht="27.75" customHeight="1" x14ac:dyDescent="0.25">
      <c r="A332" s="32" t="s">
        <v>294</v>
      </c>
      <c r="B332" s="90" t="s">
        <v>172</v>
      </c>
      <c r="C332" s="34">
        <v>1914.71</v>
      </c>
      <c r="D332" s="27">
        <v>0</v>
      </c>
      <c r="E332" s="59">
        <f t="shared" si="223"/>
        <v>1914.71</v>
      </c>
      <c r="F332" s="59">
        <v>0</v>
      </c>
      <c r="G332" s="59">
        <v>0</v>
      </c>
      <c r="H332" s="60">
        <f t="shared" si="224"/>
        <v>1914.71</v>
      </c>
      <c r="I332" s="59">
        <v>0</v>
      </c>
      <c r="J332" s="59">
        <v>0</v>
      </c>
      <c r="K332" s="29">
        <f t="shared" si="179"/>
        <v>1914.71</v>
      </c>
      <c r="L332" s="34">
        <v>1140.4100000000001</v>
      </c>
      <c r="M332" s="34">
        <f t="shared" si="225"/>
        <v>-774.3</v>
      </c>
      <c r="N332" s="92">
        <f t="shared" ref="N332:N333" si="229">L332/K332</f>
        <v>0.59560455630356557</v>
      </c>
      <c r="O332" s="57">
        <v>0</v>
      </c>
      <c r="P332" s="92">
        <f t="shared" si="226"/>
        <v>1140.4100000000001</v>
      </c>
      <c r="Q332" s="57">
        <v>0</v>
      </c>
      <c r="R332" s="92">
        <v>0</v>
      </c>
      <c r="S332" s="57">
        <f t="shared" si="227"/>
        <v>1140.4100000000001</v>
      </c>
      <c r="T332" s="57">
        <v>-30</v>
      </c>
      <c r="U332" s="57">
        <v>0</v>
      </c>
      <c r="V332" s="59">
        <v>0</v>
      </c>
      <c r="W332" s="29">
        <f t="shared" si="212"/>
        <v>1110.4100000000001</v>
      </c>
      <c r="X332" s="34">
        <v>655.88</v>
      </c>
      <c r="Y332" s="34">
        <f t="shared" si="228"/>
        <v>-454.53000000000009</v>
      </c>
      <c r="Z332" s="212">
        <f t="shared" ref="Z332:Z335" si="230">X332/W332</f>
        <v>0.59066470943165128</v>
      </c>
    </row>
    <row r="333" spans="1:27" ht="26.25" customHeight="1" x14ac:dyDescent="0.25">
      <c r="A333" s="32" t="s">
        <v>295</v>
      </c>
      <c r="B333" s="90" t="s">
        <v>296</v>
      </c>
      <c r="C333" s="34">
        <v>1500</v>
      </c>
      <c r="D333" s="27">
        <v>0</v>
      </c>
      <c r="E333" s="59">
        <f t="shared" si="223"/>
        <v>1500</v>
      </c>
      <c r="F333" s="59">
        <v>0</v>
      </c>
      <c r="G333" s="59">
        <v>0</v>
      </c>
      <c r="H333" s="60">
        <f t="shared" si="224"/>
        <v>1500</v>
      </c>
      <c r="I333" s="59">
        <v>0</v>
      </c>
      <c r="J333" s="59">
        <v>0</v>
      </c>
      <c r="K333" s="29">
        <f t="shared" si="179"/>
        <v>1500</v>
      </c>
      <c r="L333" s="34">
        <v>15000</v>
      </c>
      <c r="M333" s="34">
        <f t="shared" si="225"/>
        <v>13500</v>
      </c>
      <c r="N333" s="92">
        <f t="shared" si="229"/>
        <v>10</v>
      </c>
      <c r="O333" s="57">
        <v>0</v>
      </c>
      <c r="P333" s="92">
        <f t="shared" si="226"/>
        <v>15000</v>
      </c>
      <c r="Q333" s="57">
        <v>0</v>
      </c>
      <c r="R333" s="92">
        <v>0</v>
      </c>
      <c r="S333" s="57">
        <f t="shared" si="227"/>
        <v>15000</v>
      </c>
      <c r="T333" s="57">
        <v>0</v>
      </c>
      <c r="U333" s="57">
        <v>0</v>
      </c>
      <c r="V333" s="59">
        <v>0</v>
      </c>
      <c r="W333" s="29">
        <f t="shared" si="212"/>
        <v>15000</v>
      </c>
      <c r="X333" s="34">
        <v>15500</v>
      </c>
      <c r="Y333" s="34">
        <f t="shared" si="228"/>
        <v>500</v>
      </c>
      <c r="Z333" s="212">
        <f t="shared" si="230"/>
        <v>1.0333333333333334</v>
      </c>
    </row>
    <row r="334" spans="1:27" ht="15.75" customHeight="1" x14ac:dyDescent="0.25">
      <c r="A334" s="32" t="s">
        <v>368</v>
      </c>
      <c r="B334" s="113" t="s">
        <v>356</v>
      </c>
      <c r="C334" s="34"/>
      <c r="D334" s="27"/>
      <c r="E334" s="59"/>
      <c r="F334" s="59"/>
      <c r="G334" s="59"/>
      <c r="H334" s="60"/>
      <c r="I334" s="59"/>
      <c r="J334" s="59"/>
      <c r="K334" s="29"/>
      <c r="L334" s="34">
        <v>0</v>
      </c>
      <c r="M334" s="34"/>
      <c r="N334" s="92"/>
      <c r="O334" s="57"/>
      <c r="P334" s="92"/>
      <c r="Q334" s="57"/>
      <c r="R334" s="92"/>
      <c r="S334" s="57"/>
      <c r="T334" s="57"/>
      <c r="U334" s="57"/>
      <c r="V334" s="59"/>
      <c r="W334" s="29">
        <v>0</v>
      </c>
      <c r="X334" s="34">
        <v>400</v>
      </c>
      <c r="Y334" s="34">
        <f t="shared" si="228"/>
        <v>400</v>
      </c>
      <c r="Z334" s="212" t="s">
        <v>263</v>
      </c>
    </row>
    <row r="335" spans="1:27" ht="25.5" customHeight="1" x14ac:dyDescent="0.25">
      <c r="A335" s="32" t="s">
        <v>297</v>
      </c>
      <c r="B335" s="90"/>
      <c r="C335" s="34"/>
      <c r="D335" s="91"/>
      <c r="E335" s="57"/>
      <c r="F335" s="57"/>
      <c r="G335" s="57"/>
      <c r="H335" s="92"/>
      <c r="I335" s="57"/>
      <c r="J335" s="57"/>
      <c r="K335" s="93"/>
      <c r="L335" s="34">
        <v>0</v>
      </c>
      <c r="M335" s="34"/>
      <c r="N335" s="92"/>
      <c r="O335" s="57"/>
      <c r="P335" s="92">
        <v>0</v>
      </c>
      <c r="Q335" s="57">
        <v>300</v>
      </c>
      <c r="R335" s="92">
        <v>0</v>
      </c>
      <c r="S335" s="57">
        <f t="shared" si="227"/>
        <v>300</v>
      </c>
      <c r="T335" s="57">
        <v>0</v>
      </c>
      <c r="U335" s="57">
        <v>0</v>
      </c>
      <c r="V335" s="59">
        <v>0</v>
      </c>
      <c r="W335" s="29">
        <f t="shared" si="212"/>
        <v>300</v>
      </c>
      <c r="X335" s="34">
        <v>0</v>
      </c>
      <c r="Y335" s="34">
        <f t="shared" si="228"/>
        <v>-300</v>
      </c>
      <c r="Z335" s="212">
        <f t="shared" si="230"/>
        <v>0</v>
      </c>
    </row>
    <row r="336" spans="1:27" ht="24.75" customHeight="1" thickBot="1" x14ac:dyDescent="0.3">
      <c r="A336" s="238" t="s">
        <v>298</v>
      </c>
      <c r="B336" s="230"/>
      <c r="C336" s="231">
        <v>0</v>
      </c>
      <c r="D336" s="232">
        <v>0</v>
      </c>
      <c r="E336" s="236">
        <f t="shared" si="223"/>
        <v>0</v>
      </c>
      <c r="F336" s="236">
        <v>0</v>
      </c>
      <c r="G336" s="236">
        <v>0</v>
      </c>
      <c r="H336" s="235">
        <f t="shared" si="224"/>
        <v>0</v>
      </c>
      <c r="I336" s="236">
        <v>0</v>
      </c>
      <c r="J336" s="236">
        <v>0</v>
      </c>
      <c r="K336" s="234">
        <f t="shared" si="179"/>
        <v>0</v>
      </c>
      <c r="L336" s="231">
        <v>0</v>
      </c>
      <c r="M336" s="231">
        <f t="shared" si="225"/>
        <v>0</v>
      </c>
      <c r="N336" s="235" t="s">
        <v>39</v>
      </c>
      <c r="O336" s="236">
        <v>0</v>
      </c>
      <c r="P336" s="235">
        <f t="shared" si="226"/>
        <v>0</v>
      </c>
      <c r="Q336" s="236">
        <v>0</v>
      </c>
      <c r="R336" s="235">
        <v>0</v>
      </c>
      <c r="S336" s="236">
        <f t="shared" si="227"/>
        <v>0</v>
      </c>
      <c r="T336" s="236">
        <v>0</v>
      </c>
      <c r="U336" s="236">
        <v>0</v>
      </c>
      <c r="V336" s="236">
        <v>0</v>
      </c>
      <c r="W336" s="234">
        <f t="shared" si="212"/>
        <v>0</v>
      </c>
      <c r="X336" s="231">
        <v>0</v>
      </c>
      <c r="Y336" s="231">
        <f t="shared" si="228"/>
        <v>0</v>
      </c>
      <c r="Z336" s="237" t="s">
        <v>263</v>
      </c>
    </row>
    <row r="337" spans="1:27" ht="15" customHeight="1" thickBot="1" x14ac:dyDescent="0.3">
      <c r="A337" s="116" t="s">
        <v>179</v>
      </c>
      <c r="B337" s="109"/>
      <c r="C337" s="84">
        <f>SUM(C339:C341)</f>
        <v>1000</v>
      </c>
      <c r="D337" s="85">
        <f>SUM(D339:D341)</f>
        <v>0</v>
      </c>
      <c r="E337" s="84">
        <f>SUM(C337:D337)</f>
        <v>1000</v>
      </c>
      <c r="F337" s="84">
        <f>SUM(F339:F341)</f>
        <v>0</v>
      </c>
      <c r="G337" s="84">
        <f>SUM(G339:G341)</f>
        <v>0</v>
      </c>
      <c r="H337" s="86">
        <f>SUM(H339:H341)</f>
        <v>1000</v>
      </c>
      <c r="I337" s="84">
        <f>SUM(I339:I341)</f>
        <v>0</v>
      </c>
      <c r="J337" s="84">
        <f>SUM(J339:J341)</f>
        <v>0</v>
      </c>
      <c r="K337" s="87">
        <f t="shared" si="179"/>
        <v>1000</v>
      </c>
      <c r="L337" s="84">
        <f t="shared" ref="L337" si="231">SUM(L339:L341)</f>
        <v>1000</v>
      </c>
      <c r="M337" s="84">
        <f>SUM(M339:M341)</f>
        <v>0</v>
      </c>
      <c r="N337" s="86">
        <f>L337/K337</f>
        <v>1</v>
      </c>
      <c r="O337" s="84">
        <f t="shared" ref="O337:T337" si="232">SUM(O339:O341)</f>
        <v>0</v>
      </c>
      <c r="P337" s="87">
        <f t="shared" si="232"/>
        <v>1000</v>
      </c>
      <c r="Q337" s="84">
        <f t="shared" si="232"/>
        <v>0</v>
      </c>
      <c r="R337" s="86">
        <f t="shared" si="232"/>
        <v>0</v>
      </c>
      <c r="S337" s="84">
        <f t="shared" si="232"/>
        <v>1000</v>
      </c>
      <c r="T337" s="84">
        <f t="shared" si="232"/>
        <v>0</v>
      </c>
      <c r="U337" s="84">
        <f>SUM(U339:U341)</f>
        <v>0</v>
      </c>
      <c r="V337" s="84">
        <f>SUM(V339:V341)</f>
        <v>0</v>
      </c>
      <c r="W337" s="87">
        <f t="shared" si="212"/>
        <v>1000</v>
      </c>
      <c r="X337" s="84">
        <f t="shared" ref="X337" si="233">SUM(X339:X341)</f>
        <v>1000</v>
      </c>
      <c r="Y337" s="84">
        <f>X337-W337</f>
        <v>0</v>
      </c>
      <c r="Z337" s="211">
        <f>X337/W337</f>
        <v>1</v>
      </c>
      <c r="AA337" s="191"/>
    </row>
    <row r="338" spans="1:27" ht="13.5" customHeight="1" x14ac:dyDescent="0.25">
      <c r="A338" s="117" t="s">
        <v>47</v>
      </c>
      <c r="B338" s="103"/>
      <c r="C338" s="26"/>
      <c r="D338" s="27"/>
      <c r="E338" s="26"/>
      <c r="F338" s="26"/>
      <c r="G338" s="26"/>
      <c r="H338" s="28"/>
      <c r="I338" s="26"/>
      <c r="J338" s="26"/>
      <c r="K338" s="29"/>
      <c r="L338" s="26"/>
      <c r="M338" s="26"/>
      <c r="N338" s="28"/>
      <c r="O338" s="26"/>
      <c r="P338" s="28"/>
      <c r="Q338" s="26"/>
      <c r="R338" s="28"/>
      <c r="S338" s="26"/>
      <c r="T338" s="26"/>
      <c r="U338" s="26"/>
      <c r="V338" s="26"/>
      <c r="W338" s="29"/>
      <c r="X338" s="26"/>
      <c r="Y338" s="26"/>
      <c r="Z338" s="203"/>
    </row>
    <row r="339" spans="1:27" ht="18" customHeight="1" x14ac:dyDescent="0.25">
      <c r="A339" s="32" t="s">
        <v>299</v>
      </c>
      <c r="B339" s="90"/>
      <c r="C339" s="34">
        <v>0</v>
      </c>
      <c r="D339" s="27">
        <v>0</v>
      </c>
      <c r="E339" s="59">
        <f>SUM(C339:D339)</f>
        <v>0</v>
      </c>
      <c r="F339" s="59">
        <v>0</v>
      </c>
      <c r="G339" s="59">
        <v>0</v>
      </c>
      <c r="H339" s="60">
        <f>SUM(E339:G339)</f>
        <v>0</v>
      </c>
      <c r="I339" s="59">
        <v>0</v>
      </c>
      <c r="J339" s="59">
        <v>0</v>
      </c>
      <c r="K339" s="29">
        <f t="shared" si="179"/>
        <v>0</v>
      </c>
      <c r="L339" s="34">
        <v>0</v>
      </c>
      <c r="M339" s="34">
        <f>L339-K339</f>
        <v>0</v>
      </c>
      <c r="N339" s="92" t="s">
        <v>39</v>
      </c>
      <c r="O339" s="57">
        <v>0</v>
      </c>
      <c r="P339" s="92">
        <f>L339+O339</f>
        <v>0</v>
      </c>
      <c r="Q339" s="57">
        <v>0</v>
      </c>
      <c r="R339" s="92">
        <v>0</v>
      </c>
      <c r="S339" s="57">
        <f>SUM(P339:R339)</f>
        <v>0</v>
      </c>
      <c r="T339" s="57">
        <v>0</v>
      </c>
      <c r="U339" s="57">
        <v>0</v>
      </c>
      <c r="V339" s="59">
        <v>0</v>
      </c>
      <c r="W339" s="29">
        <f t="shared" si="212"/>
        <v>0</v>
      </c>
      <c r="X339" s="57" t="s">
        <v>263</v>
      </c>
      <c r="Y339" s="57" t="s">
        <v>263</v>
      </c>
      <c r="Z339" s="212" t="s">
        <v>263</v>
      </c>
    </row>
    <row r="340" spans="1:27" ht="15" customHeight="1" x14ac:dyDescent="0.25">
      <c r="A340" s="32" t="s">
        <v>300</v>
      </c>
      <c r="B340" s="113" t="s">
        <v>350</v>
      </c>
      <c r="C340" s="34">
        <v>1000</v>
      </c>
      <c r="D340" s="27">
        <v>0</v>
      </c>
      <c r="E340" s="59">
        <f t="shared" ref="E340:E341" si="234">SUM(C340:D340)</f>
        <v>1000</v>
      </c>
      <c r="F340" s="59">
        <v>0</v>
      </c>
      <c r="G340" s="59">
        <v>0</v>
      </c>
      <c r="H340" s="60">
        <f t="shared" ref="H340:H341" si="235">SUM(E340:G340)</f>
        <v>1000</v>
      </c>
      <c r="I340" s="59">
        <v>0</v>
      </c>
      <c r="J340" s="59">
        <v>0</v>
      </c>
      <c r="K340" s="29">
        <f t="shared" si="179"/>
        <v>1000</v>
      </c>
      <c r="L340" s="34">
        <v>1000</v>
      </c>
      <c r="M340" s="34">
        <f t="shared" ref="M340:M341" si="236">L340-K340</f>
        <v>0</v>
      </c>
      <c r="N340" s="92">
        <f t="shared" ref="N340" si="237">L340/K340</f>
        <v>1</v>
      </c>
      <c r="O340" s="57">
        <v>0</v>
      </c>
      <c r="P340" s="92">
        <f t="shared" ref="P340:P341" si="238">L340+O340</f>
        <v>1000</v>
      </c>
      <c r="Q340" s="57">
        <v>0</v>
      </c>
      <c r="R340" s="92">
        <v>0</v>
      </c>
      <c r="S340" s="57">
        <f t="shared" ref="S340:S341" si="239">SUM(P340:R340)</f>
        <v>1000</v>
      </c>
      <c r="T340" s="57">
        <v>0</v>
      </c>
      <c r="U340" s="57">
        <v>0</v>
      </c>
      <c r="V340" s="59">
        <v>0</v>
      </c>
      <c r="W340" s="29">
        <f t="shared" si="212"/>
        <v>1000</v>
      </c>
      <c r="X340" s="34">
        <v>1000</v>
      </c>
      <c r="Y340" s="34">
        <f>X340-W340</f>
        <v>0</v>
      </c>
      <c r="Z340" s="213">
        <f>X340/W340</f>
        <v>1</v>
      </c>
    </row>
    <row r="341" spans="1:27" ht="18.75" customHeight="1" thickBot="1" x14ac:dyDescent="0.3">
      <c r="A341" s="115" t="s">
        <v>301</v>
      </c>
      <c r="B341" s="102"/>
      <c r="C341" s="38">
        <v>0</v>
      </c>
      <c r="D341" s="99">
        <v>0</v>
      </c>
      <c r="E341" s="62">
        <f t="shared" si="234"/>
        <v>0</v>
      </c>
      <c r="F341" s="62">
        <v>0</v>
      </c>
      <c r="G341" s="62">
        <v>0</v>
      </c>
      <c r="H341" s="62">
        <f t="shared" si="235"/>
        <v>0</v>
      </c>
      <c r="I341" s="62">
        <v>0</v>
      </c>
      <c r="J341" s="62">
        <v>0</v>
      </c>
      <c r="K341" s="101">
        <f t="shared" si="179"/>
        <v>0</v>
      </c>
      <c r="L341" s="38">
        <v>0</v>
      </c>
      <c r="M341" s="38">
        <f t="shared" si="236"/>
        <v>0</v>
      </c>
      <c r="N341" s="100" t="s">
        <v>39</v>
      </c>
      <c r="O341" s="62">
        <v>0</v>
      </c>
      <c r="P341" s="100">
        <f t="shared" si="238"/>
        <v>0</v>
      </c>
      <c r="Q341" s="62">
        <v>0</v>
      </c>
      <c r="R341" s="100">
        <v>0</v>
      </c>
      <c r="S341" s="62">
        <f t="shared" si="239"/>
        <v>0</v>
      </c>
      <c r="T341" s="62">
        <v>0</v>
      </c>
      <c r="U341" s="62">
        <v>0</v>
      </c>
      <c r="V341" s="64">
        <v>0</v>
      </c>
      <c r="W341" s="194">
        <f t="shared" si="212"/>
        <v>0</v>
      </c>
      <c r="X341" s="38">
        <v>0</v>
      </c>
      <c r="Y341" s="34">
        <f>X341-W341</f>
        <v>0</v>
      </c>
      <c r="Z341" s="212" t="s">
        <v>263</v>
      </c>
    </row>
    <row r="342" spans="1:27" ht="15.75" customHeight="1" thickBot="1" x14ac:dyDescent="0.3">
      <c r="A342" s="116" t="s">
        <v>221</v>
      </c>
      <c r="B342" s="109"/>
      <c r="C342" s="84">
        <f>SUM(C344:C348)</f>
        <v>307960</v>
      </c>
      <c r="D342" s="85">
        <f>SUM(D344:D348)</f>
        <v>10649</v>
      </c>
      <c r="E342" s="84">
        <f>SUM(C342:D342)</f>
        <v>318609</v>
      </c>
      <c r="F342" s="84">
        <f>SUM(F344:F348)</f>
        <v>114656</v>
      </c>
      <c r="G342" s="84">
        <f>SUM(G344:G348)</f>
        <v>-3758</v>
      </c>
      <c r="H342" s="84">
        <f>SUM(H344:H348)</f>
        <v>429123</v>
      </c>
      <c r="I342" s="84">
        <f>SUM(I344:I348)</f>
        <v>-26953</v>
      </c>
      <c r="J342" s="84">
        <f>SUM(J344:J348)</f>
        <v>27831</v>
      </c>
      <c r="K342" s="87">
        <f t="shared" si="179"/>
        <v>430001</v>
      </c>
      <c r="L342" s="84">
        <f t="shared" ref="L342" si="240">SUM(L344:L348)</f>
        <v>209117</v>
      </c>
      <c r="M342" s="84">
        <f>SUM(M344:M348)</f>
        <v>-220884</v>
      </c>
      <c r="N342" s="142">
        <f>L342/K342</f>
        <v>0.48631747368029377</v>
      </c>
      <c r="O342" s="141">
        <f t="shared" ref="O342:T342" si="241">SUM(O344:O348)</f>
        <v>-300</v>
      </c>
      <c r="P342" s="143">
        <f t="shared" si="241"/>
        <v>205799</v>
      </c>
      <c r="Q342" s="141">
        <f t="shared" si="241"/>
        <v>89164</v>
      </c>
      <c r="R342" s="142">
        <f t="shared" si="241"/>
        <v>6747</v>
      </c>
      <c r="S342" s="141">
        <f t="shared" si="241"/>
        <v>301710</v>
      </c>
      <c r="T342" s="141">
        <f t="shared" si="241"/>
        <v>7450</v>
      </c>
      <c r="U342" s="141">
        <f>SUM(U344:U348)</f>
        <v>0</v>
      </c>
      <c r="V342" s="141">
        <f>SUM(V344:V348)</f>
        <v>-7317</v>
      </c>
      <c r="W342" s="87">
        <f t="shared" si="212"/>
        <v>301843</v>
      </c>
      <c r="X342" s="84">
        <f t="shared" ref="X342" si="242">SUM(X344:X348)</f>
        <v>253596</v>
      </c>
      <c r="Y342" s="84">
        <f>X342-W342</f>
        <v>-48247</v>
      </c>
      <c r="Z342" s="211">
        <f>X342/W342</f>
        <v>0.84015862551061316</v>
      </c>
      <c r="AA342" s="191"/>
    </row>
    <row r="343" spans="1:27" ht="15" customHeight="1" x14ac:dyDescent="0.25">
      <c r="A343" s="117" t="s">
        <v>47</v>
      </c>
      <c r="B343" s="103"/>
      <c r="C343" s="26"/>
      <c r="D343" s="27"/>
      <c r="E343" s="26"/>
      <c r="F343" s="26"/>
      <c r="G343" s="26"/>
      <c r="H343" s="28"/>
      <c r="I343" s="26"/>
      <c r="J343" s="26"/>
      <c r="K343" s="29"/>
      <c r="L343" s="26"/>
      <c r="M343" s="26"/>
      <c r="N343" s="60"/>
      <c r="O343" s="59"/>
      <c r="P343" s="60"/>
      <c r="Q343" s="59"/>
      <c r="R343" s="60"/>
      <c r="S343" s="59"/>
      <c r="T343" s="59"/>
      <c r="U343" s="59"/>
      <c r="V343" s="59"/>
      <c r="W343" s="29"/>
      <c r="X343" s="26"/>
      <c r="Y343" s="26"/>
      <c r="Z343" s="203"/>
    </row>
    <row r="344" spans="1:27" ht="15.75" customHeight="1" x14ac:dyDescent="0.25">
      <c r="A344" s="114" t="s">
        <v>302</v>
      </c>
      <c r="B344" s="90"/>
      <c r="C344" s="34">
        <v>21003</v>
      </c>
      <c r="D344" s="27">
        <f>6510</f>
        <v>6510</v>
      </c>
      <c r="E344" s="26">
        <f>SUM(C344:D344)</f>
        <v>27513</v>
      </c>
      <c r="F344" s="26">
        <v>0</v>
      </c>
      <c r="G344" s="26">
        <v>0</v>
      </c>
      <c r="H344" s="28">
        <f>SUM(E344:G344)</f>
        <v>27513</v>
      </c>
      <c r="I344" s="26">
        <v>0</v>
      </c>
      <c r="J344" s="26">
        <v>0</v>
      </c>
      <c r="K344" s="29">
        <f t="shared" si="179"/>
        <v>27513</v>
      </c>
      <c r="L344" s="34">
        <v>29888</v>
      </c>
      <c r="M344" s="34">
        <f>L344-K344</f>
        <v>2375</v>
      </c>
      <c r="N344" s="92">
        <f>L344/K344</f>
        <v>1.0863228292080107</v>
      </c>
      <c r="O344" s="57">
        <v>0</v>
      </c>
      <c r="P344" s="92">
        <f>L344+O344</f>
        <v>29888</v>
      </c>
      <c r="Q344" s="57">
        <v>0</v>
      </c>
      <c r="R344" s="92">
        <v>0</v>
      </c>
      <c r="S344" s="57">
        <f>SUM(P344:R344)</f>
        <v>29888</v>
      </c>
      <c r="T344" s="57">
        <v>0</v>
      </c>
      <c r="U344" s="57">
        <v>0</v>
      </c>
      <c r="V344" s="59">
        <v>0</v>
      </c>
      <c r="W344" s="29">
        <f t="shared" si="212"/>
        <v>29888</v>
      </c>
      <c r="X344" s="57" t="s">
        <v>263</v>
      </c>
      <c r="Y344" s="57" t="s">
        <v>263</v>
      </c>
      <c r="Z344" s="212" t="s">
        <v>263</v>
      </c>
    </row>
    <row r="345" spans="1:27" ht="17.25" customHeight="1" x14ac:dyDescent="0.25">
      <c r="A345" s="114" t="s">
        <v>260</v>
      </c>
      <c r="B345" s="90"/>
      <c r="C345" s="34">
        <v>285957</v>
      </c>
      <c r="D345" s="27">
        <f>6757-2325-293</f>
        <v>4139</v>
      </c>
      <c r="E345" s="26">
        <f>SUM(C345:D345)-254</f>
        <v>289842</v>
      </c>
      <c r="F345" s="26">
        <v>114656</v>
      </c>
      <c r="G345" s="26">
        <f>407-665-3500</f>
        <v>-3758</v>
      </c>
      <c r="H345" s="28">
        <f>SUM(E345:G345)-130</f>
        <v>400610</v>
      </c>
      <c r="I345" s="26">
        <v>-26953</v>
      </c>
      <c r="J345" s="26">
        <f>1423+20794+1000+5614</f>
        <v>28831</v>
      </c>
      <c r="K345" s="29">
        <f t="shared" si="179"/>
        <v>402488</v>
      </c>
      <c r="L345" s="34">
        <v>148757</v>
      </c>
      <c r="M345" s="34">
        <f t="shared" ref="M345:M348" si="243">L345-K345</f>
        <v>-253731</v>
      </c>
      <c r="N345" s="92">
        <f t="shared" ref="N345" si="244">L345/K345</f>
        <v>0.36959362763610343</v>
      </c>
      <c r="O345" s="57">
        <f>0-300</f>
        <v>-300</v>
      </c>
      <c r="P345" s="92">
        <f>L345+O345-618</f>
        <v>147839</v>
      </c>
      <c r="Q345" s="57">
        <v>89164</v>
      </c>
      <c r="R345" s="92">
        <f>1000+7000+900-253</f>
        <v>8647</v>
      </c>
      <c r="S345" s="57">
        <f t="shared" ref="S345:S348" si="245">SUM(P345:R345)</f>
        <v>245650</v>
      </c>
      <c r="T345" s="57">
        <v>6650</v>
      </c>
      <c r="U345" s="57">
        <v>0</v>
      </c>
      <c r="V345" s="59">
        <f>-3302-2295-1720</f>
        <v>-7317</v>
      </c>
      <c r="W345" s="29">
        <f t="shared" si="212"/>
        <v>244983</v>
      </c>
      <c r="X345" s="34">
        <v>252596</v>
      </c>
      <c r="Y345" s="34">
        <f>X345-W345</f>
        <v>7613</v>
      </c>
      <c r="Z345" s="213">
        <f>X345/W345</f>
        <v>1.0310756256556577</v>
      </c>
    </row>
    <row r="346" spans="1:27" ht="25.5" customHeight="1" x14ac:dyDescent="0.25">
      <c r="A346" s="32" t="s">
        <v>303</v>
      </c>
      <c r="B346" s="90"/>
      <c r="C346" s="34">
        <v>1000</v>
      </c>
      <c r="D346" s="27">
        <v>0</v>
      </c>
      <c r="E346" s="26">
        <f t="shared" ref="E346:E348" si="246">SUM(C346:D346)</f>
        <v>1000</v>
      </c>
      <c r="F346" s="26">
        <v>0</v>
      </c>
      <c r="G346" s="26">
        <v>0</v>
      </c>
      <c r="H346" s="28">
        <f t="shared" ref="H346:H348" si="247">SUM(E346:G346)</f>
        <v>1000</v>
      </c>
      <c r="I346" s="26">
        <v>0</v>
      </c>
      <c r="J346" s="26">
        <f>-1000</f>
        <v>-1000</v>
      </c>
      <c r="K346" s="29">
        <f t="shared" si="179"/>
        <v>0</v>
      </c>
      <c r="L346" s="34">
        <v>1000</v>
      </c>
      <c r="M346" s="34">
        <f t="shared" si="243"/>
        <v>1000</v>
      </c>
      <c r="N346" s="92" t="s">
        <v>39</v>
      </c>
      <c r="O346" s="57">
        <v>0</v>
      </c>
      <c r="P346" s="92">
        <f t="shared" ref="P346:P348" si="248">L346+O346</f>
        <v>1000</v>
      </c>
      <c r="Q346" s="57">
        <v>0</v>
      </c>
      <c r="R346" s="92">
        <f>-1000</f>
        <v>-1000</v>
      </c>
      <c r="S346" s="57">
        <f t="shared" si="245"/>
        <v>0</v>
      </c>
      <c r="T346" s="57">
        <v>0</v>
      </c>
      <c r="U346" s="57">
        <v>0</v>
      </c>
      <c r="V346" s="59">
        <v>0</v>
      </c>
      <c r="W346" s="29">
        <f t="shared" si="212"/>
        <v>0</v>
      </c>
      <c r="X346" s="34">
        <v>1000</v>
      </c>
      <c r="Y346" s="34">
        <f t="shared" ref="Y346:Y348" si="249">X346-W346</f>
        <v>1000</v>
      </c>
      <c r="Z346" s="212" t="s">
        <v>263</v>
      </c>
    </row>
    <row r="347" spans="1:27" ht="17.25" customHeight="1" x14ac:dyDescent="0.25">
      <c r="A347" s="114" t="s">
        <v>304</v>
      </c>
      <c r="B347" s="90"/>
      <c r="C347" s="34">
        <v>0</v>
      </c>
      <c r="D347" s="27">
        <v>0</v>
      </c>
      <c r="E347" s="26">
        <f t="shared" si="246"/>
        <v>0</v>
      </c>
      <c r="F347" s="26">
        <v>0</v>
      </c>
      <c r="G347" s="26">
        <v>0</v>
      </c>
      <c r="H347" s="28">
        <f t="shared" si="247"/>
        <v>0</v>
      </c>
      <c r="I347" s="26">
        <v>0</v>
      </c>
      <c r="J347" s="26">
        <v>0</v>
      </c>
      <c r="K347" s="29">
        <f t="shared" si="179"/>
        <v>0</v>
      </c>
      <c r="L347" s="34">
        <v>29472</v>
      </c>
      <c r="M347" s="34">
        <f t="shared" si="243"/>
        <v>29472</v>
      </c>
      <c r="N347" s="92" t="s">
        <v>39</v>
      </c>
      <c r="O347" s="57">
        <v>0</v>
      </c>
      <c r="P347" s="92">
        <f>L347+O347-2400</f>
        <v>27072</v>
      </c>
      <c r="Q347" s="57">
        <v>0</v>
      </c>
      <c r="R347" s="92">
        <f>-900</f>
        <v>-900</v>
      </c>
      <c r="S347" s="57">
        <f t="shared" si="245"/>
        <v>26172</v>
      </c>
      <c r="T347" s="57">
        <v>800</v>
      </c>
      <c r="U347" s="57">
        <v>0</v>
      </c>
      <c r="V347" s="59">
        <v>0</v>
      </c>
      <c r="W347" s="29">
        <f t="shared" si="212"/>
        <v>26972</v>
      </c>
      <c r="X347" s="34">
        <v>0</v>
      </c>
      <c r="Y347" s="34">
        <f t="shared" si="249"/>
        <v>-26972</v>
      </c>
      <c r="Z347" s="212">
        <f t="shared" ref="Z347" si="250">X347/W347</f>
        <v>0</v>
      </c>
    </row>
    <row r="348" spans="1:27" ht="18.75" customHeight="1" thickBot="1" x14ac:dyDescent="0.3">
      <c r="A348" s="229" t="s">
        <v>305</v>
      </c>
      <c r="B348" s="230"/>
      <c r="C348" s="231">
        <v>0</v>
      </c>
      <c r="D348" s="232">
        <v>0</v>
      </c>
      <c r="E348" s="231">
        <f t="shared" si="246"/>
        <v>0</v>
      </c>
      <c r="F348" s="231">
        <v>0</v>
      </c>
      <c r="G348" s="231">
        <v>0</v>
      </c>
      <c r="H348" s="233">
        <f t="shared" si="247"/>
        <v>0</v>
      </c>
      <c r="I348" s="231">
        <v>0</v>
      </c>
      <c r="J348" s="231">
        <v>0</v>
      </c>
      <c r="K348" s="234">
        <f t="shared" si="179"/>
        <v>0</v>
      </c>
      <c r="L348" s="231">
        <v>0</v>
      </c>
      <c r="M348" s="231">
        <f t="shared" si="243"/>
        <v>0</v>
      </c>
      <c r="N348" s="235" t="s">
        <v>39</v>
      </c>
      <c r="O348" s="236">
        <v>0</v>
      </c>
      <c r="P348" s="235">
        <f t="shared" si="248"/>
        <v>0</v>
      </c>
      <c r="Q348" s="236">
        <v>0</v>
      </c>
      <c r="R348" s="235">
        <v>0</v>
      </c>
      <c r="S348" s="236">
        <f t="shared" si="245"/>
        <v>0</v>
      </c>
      <c r="T348" s="236">
        <v>0</v>
      </c>
      <c r="U348" s="236">
        <v>0</v>
      </c>
      <c r="V348" s="236">
        <v>0</v>
      </c>
      <c r="W348" s="234">
        <f t="shared" si="212"/>
        <v>0</v>
      </c>
      <c r="X348" s="231">
        <v>0</v>
      </c>
      <c r="Y348" s="231">
        <f t="shared" si="249"/>
        <v>0</v>
      </c>
      <c r="Z348" s="237" t="s">
        <v>263</v>
      </c>
    </row>
    <row r="349" spans="1:27" ht="16.350000000000001" customHeight="1" thickBot="1" x14ac:dyDescent="0.3">
      <c r="A349" s="116" t="s">
        <v>224</v>
      </c>
      <c r="B349" s="109"/>
      <c r="C349" s="84">
        <f>SUM(C351:C358)</f>
        <v>6500</v>
      </c>
      <c r="D349" s="85">
        <f>SUM(D351:D358)</f>
        <v>0</v>
      </c>
      <c r="E349" s="84">
        <f>SUM(C349:D349)</f>
        <v>6500</v>
      </c>
      <c r="F349" s="84">
        <f>SUM(F351:F358)</f>
        <v>-1050</v>
      </c>
      <c r="G349" s="84">
        <f>SUM(G351:G358)</f>
        <v>-92.300000000000011</v>
      </c>
      <c r="H349" s="86">
        <f>SUM(H351:H358)</f>
        <v>5357.7</v>
      </c>
      <c r="I349" s="84">
        <f>SUM(I351:I358)</f>
        <v>-2318.1</v>
      </c>
      <c r="J349" s="84">
        <f>SUM(J351:J358)</f>
        <v>-350.1</v>
      </c>
      <c r="K349" s="87">
        <f t="shared" si="179"/>
        <v>2689.5</v>
      </c>
      <c r="L349" s="84">
        <f>SUM(L351:L358)</f>
        <v>6622.45</v>
      </c>
      <c r="M349" s="84">
        <f>SUM(M351:M358)</f>
        <v>3932.95</v>
      </c>
      <c r="N349" s="142">
        <f>L349/K349</f>
        <v>2.4623350065067857</v>
      </c>
      <c r="O349" s="141">
        <f t="shared" ref="O349:T349" si="251">SUM(O351:O358)</f>
        <v>146.41</v>
      </c>
      <c r="P349" s="143">
        <f t="shared" si="251"/>
        <v>6768.86</v>
      </c>
      <c r="Q349" s="141">
        <f t="shared" si="251"/>
        <v>90</v>
      </c>
      <c r="R349" s="142">
        <f t="shared" si="251"/>
        <v>0</v>
      </c>
      <c r="S349" s="141">
        <f t="shared" si="251"/>
        <v>6858.86</v>
      </c>
      <c r="T349" s="141">
        <f t="shared" si="251"/>
        <v>-1853.8</v>
      </c>
      <c r="U349" s="141">
        <f>SUM(U351:U358)</f>
        <v>0</v>
      </c>
      <c r="V349" s="141">
        <f>SUM(V351:V358)</f>
        <v>0</v>
      </c>
      <c r="W349" s="87">
        <f t="shared" si="212"/>
        <v>5005.0599999999995</v>
      </c>
      <c r="X349" s="84">
        <f t="shared" ref="X349" si="252">SUM(X351:X358)</f>
        <v>8726.74</v>
      </c>
      <c r="Y349" s="84">
        <f>X349-W349</f>
        <v>3721.6800000000003</v>
      </c>
      <c r="Z349" s="211">
        <f>X349/W349</f>
        <v>1.7435834935045735</v>
      </c>
      <c r="AA349" s="191"/>
    </row>
    <row r="350" spans="1:27" ht="15" customHeight="1" x14ac:dyDescent="0.25">
      <c r="A350" s="117" t="s">
        <v>47</v>
      </c>
      <c r="B350" s="103"/>
      <c r="C350" s="26"/>
      <c r="D350" s="27"/>
      <c r="E350" s="26"/>
      <c r="F350" s="26"/>
      <c r="G350" s="26"/>
      <c r="H350" s="28"/>
      <c r="I350" s="26"/>
      <c r="J350" s="26"/>
      <c r="K350" s="29"/>
      <c r="L350" s="26"/>
      <c r="M350" s="26"/>
      <c r="N350" s="60"/>
      <c r="O350" s="59"/>
      <c r="P350" s="60"/>
      <c r="Q350" s="59"/>
      <c r="R350" s="60"/>
      <c r="S350" s="59"/>
      <c r="T350" s="59"/>
      <c r="U350" s="59"/>
      <c r="V350" s="59"/>
      <c r="W350" s="29"/>
      <c r="X350" s="26"/>
      <c r="Y350" s="26"/>
      <c r="Z350" s="203"/>
    </row>
    <row r="351" spans="1:27" ht="24.75" customHeight="1" x14ac:dyDescent="0.25">
      <c r="A351" s="32" t="s">
        <v>306</v>
      </c>
      <c r="B351" s="113"/>
      <c r="C351" s="34">
        <v>0</v>
      </c>
      <c r="D351" s="27">
        <v>0</v>
      </c>
      <c r="E351" s="59">
        <f>SUM(C351:D351)</f>
        <v>0</v>
      </c>
      <c r="F351" s="59">
        <v>0</v>
      </c>
      <c r="G351" s="59">
        <v>0</v>
      </c>
      <c r="H351" s="60">
        <f>SUM(E351:G351)</f>
        <v>0</v>
      </c>
      <c r="I351" s="59">
        <v>0</v>
      </c>
      <c r="J351" s="59">
        <v>0</v>
      </c>
      <c r="K351" s="29">
        <f t="shared" si="179"/>
        <v>0</v>
      </c>
      <c r="L351" s="34">
        <v>0</v>
      </c>
      <c r="M351" s="34">
        <f>L351-K351</f>
        <v>0</v>
      </c>
      <c r="N351" s="92" t="s">
        <v>39</v>
      </c>
      <c r="O351" s="57">
        <v>0</v>
      </c>
      <c r="P351" s="92">
        <f>L351+O351</f>
        <v>0</v>
      </c>
      <c r="Q351" s="57">
        <v>0</v>
      </c>
      <c r="R351" s="92">
        <v>0</v>
      </c>
      <c r="S351" s="57">
        <f>SUM(P351:R351)</f>
        <v>0</v>
      </c>
      <c r="T351" s="57">
        <v>0</v>
      </c>
      <c r="U351" s="57">
        <v>0</v>
      </c>
      <c r="V351" s="59">
        <v>0</v>
      </c>
      <c r="W351" s="29">
        <f t="shared" si="212"/>
        <v>0</v>
      </c>
      <c r="X351" s="57" t="s">
        <v>263</v>
      </c>
      <c r="Y351" s="57" t="s">
        <v>263</v>
      </c>
      <c r="Z351" s="212" t="s">
        <v>263</v>
      </c>
    </row>
    <row r="352" spans="1:27" ht="28.5" customHeight="1" x14ac:dyDescent="0.25">
      <c r="A352" s="32" t="s">
        <v>307</v>
      </c>
      <c r="B352" s="151" t="s">
        <v>308</v>
      </c>
      <c r="C352" s="34">
        <v>5000</v>
      </c>
      <c r="D352" s="27">
        <v>0</v>
      </c>
      <c r="E352" s="59">
        <f t="shared" ref="E352:E358" si="253">SUM(C352:D352)</f>
        <v>5000</v>
      </c>
      <c r="F352" s="59">
        <v>-1050</v>
      </c>
      <c r="G352" s="59">
        <v>0</v>
      </c>
      <c r="H352" s="60">
        <f t="shared" ref="H352:H358" si="254">SUM(E352:G352)</f>
        <v>3950</v>
      </c>
      <c r="I352" s="59">
        <v>-2318.1</v>
      </c>
      <c r="J352" s="59">
        <v>0</v>
      </c>
      <c r="K352" s="29">
        <f t="shared" si="179"/>
        <v>1631.9</v>
      </c>
      <c r="L352" s="34">
        <v>5000</v>
      </c>
      <c r="M352" s="34">
        <f t="shared" ref="M352:M358" si="255">L352-K352</f>
        <v>3368.1</v>
      </c>
      <c r="N352" s="35">
        <f>L352/K352</f>
        <v>3.0639132299773268</v>
      </c>
      <c r="O352" s="34">
        <v>0</v>
      </c>
      <c r="P352" s="92">
        <f t="shared" ref="P352:P358" si="256">L352+O352</f>
        <v>5000</v>
      </c>
      <c r="Q352" s="34">
        <v>0</v>
      </c>
      <c r="R352" s="35">
        <v>0</v>
      </c>
      <c r="S352" s="57">
        <f t="shared" ref="S352:S358" si="257">SUM(P352:R352)</f>
        <v>5000</v>
      </c>
      <c r="T352" s="57">
        <v>-1853.8</v>
      </c>
      <c r="U352" s="57">
        <v>0</v>
      </c>
      <c r="V352" s="59">
        <v>0</v>
      </c>
      <c r="W352" s="29">
        <f t="shared" si="212"/>
        <v>3146.2</v>
      </c>
      <c r="X352" s="34">
        <v>5000</v>
      </c>
      <c r="Y352" s="34">
        <f>X352-W352</f>
        <v>1853.8000000000002</v>
      </c>
      <c r="Z352" s="213">
        <f>X352/W352</f>
        <v>1.589218740067383</v>
      </c>
    </row>
    <row r="353" spans="1:27" ht="15" customHeight="1" x14ac:dyDescent="0.25">
      <c r="A353" s="114" t="s">
        <v>309</v>
      </c>
      <c r="B353" s="90"/>
      <c r="C353" s="34">
        <v>1000</v>
      </c>
      <c r="D353" s="27">
        <v>0</v>
      </c>
      <c r="E353" s="59">
        <f t="shared" si="253"/>
        <v>1000</v>
      </c>
      <c r="F353" s="59">
        <v>0</v>
      </c>
      <c r="G353" s="59">
        <f>-157.3</f>
        <v>-157.30000000000001</v>
      </c>
      <c r="H353" s="60">
        <f t="shared" si="254"/>
        <v>842.7</v>
      </c>
      <c r="I353" s="59">
        <v>0</v>
      </c>
      <c r="J353" s="59">
        <f>-326.7-121-229.9</f>
        <v>-677.6</v>
      </c>
      <c r="K353" s="29">
        <f t="shared" si="179"/>
        <v>165.10000000000002</v>
      </c>
      <c r="L353" s="34">
        <v>1000</v>
      </c>
      <c r="M353" s="34">
        <f t="shared" si="255"/>
        <v>834.9</v>
      </c>
      <c r="N353" s="35">
        <f t="shared" ref="N353:N354" si="258">L353/K353</f>
        <v>6.0569351907934577</v>
      </c>
      <c r="O353" s="34">
        <v>0</v>
      </c>
      <c r="P353" s="92">
        <f t="shared" si="256"/>
        <v>1000</v>
      </c>
      <c r="Q353" s="34">
        <v>0</v>
      </c>
      <c r="R353" s="35">
        <v>0</v>
      </c>
      <c r="S353" s="57">
        <f t="shared" si="257"/>
        <v>1000</v>
      </c>
      <c r="T353" s="57">
        <v>0</v>
      </c>
      <c r="U353" s="57">
        <v>0</v>
      </c>
      <c r="V353" s="59">
        <v>0</v>
      </c>
      <c r="W353" s="29">
        <f t="shared" si="212"/>
        <v>1000</v>
      </c>
      <c r="X353" s="34">
        <v>1000</v>
      </c>
      <c r="Y353" s="34">
        <f t="shared" ref="Y353:Y358" si="259">X353-W353</f>
        <v>0</v>
      </c>
      <c r="Z353" s="213">
        <f t="shared" ref="Z353:Z356" si="260">X353/W353</f>
        <v>1</v>
      </c>
    </row>
    <row r="354" spans="1:27" ht="15" customHeight="1" x14ac:dyDescent="0.25">
      <c r="A354" s="114" t="s">
        <v>260</v>
      </c>
      <c r="B354" s="90"/>
      <c r="C354" s="34">
        <v>500</v>
      </c>
      <c r="D354" s="27">
        <v>0</v>
      </c>
      <c r="E354" s="59">
        <f t="shared" si="253"/>
        <v>500</v>
      </c>
      <c r="F354" s="59">
        <v>0</v>
      </c>
      <c r="G354" s="59">
        <f>27+38</f>
        <v>65</v>
      </c>
      <c r="H354" s="60">
        <f t="shared" si="254"/>
        <v>565</v>
      </c>
      <c r="I354" s="59">
        <v>0</v>
      </c>
      <c r="J354" s="59">
        <f>25+302.5</f>
        <v>327.5</v>
      </c>
      <c r="K354" s="29">
        <f t="shared" si="179"/>
        <v>892.5</v>
      </c>
      <c r="L354" s="34">
        <v>622.45000000000005</v>
      </c>
      <c r="M354" s="34">
        <f t="shared" si="255"/>
        <v>-270.04999999999995</v>
      </c>
      <c r="N354" s="35">
        <f t="shared" si="258"/>
        <v>0.6974229691876751</v>
      </c>
      <c r="O354" s="34">
        <f>146.41</f>
        <v>146.41</v>
      </c>
      <c r="P354" s="92">
        <f t="shared" si="256"/>
        <v>768.86</v>
      </c>
      <c r="Q354" s="34">
        <v>0</v>
      </c>
      <c r="R354" s="35">
        <v>0</v>
      </c>
      <c r="S354" s="57">
        <f t="shared" si="257"/>
        <v>768.86</v>
      </c>
      <c r="T354" s="57">
        <v>0</v>
      </c>
      <c r="U354" s="57">
        <v>0</v>
      </c>
      <c r="V354" s="59">
        <v>0</v>
      </c>
      <c r="W354" s="29">
        <f t="shared" si="212"/>
        <v>768.86</v>
      </c>
      <c r="X354" s="34">
        <v>474.34</v>
      </c>
      <c r="Y354" s="34">
        <f t="shared" si="259"/>
        <v>-294.52000000000004</v>
      </c>
      <c r="Z354" s="213">
        <f t="shared" si="260"/>
        <v>0.61693936477382094</v>
      </c>
    </row>
    <row r="355" spans="1:27" ht="31.5" customHeight="1" x14ac:dyDescent="0.25">
      <c r="A355" s="32" t="s">
        <v>370</v>
      </c>
      <c r="B355" s="113" t="s">
        <v>364</v>
      </c>
      <c r="C355" s="34"/>
      <c r="D355" s="27"/>
      <c r="E355" s="59"/>
      <c r="F355" s="59"/>
      <c r="G355" s="59"/>
      <c r="H355" s="60"/>
      <c r="I355" s="59"/>
      <c r="J355" s="59"/>
      <c r="K355" s="29"/>
      <c r="L355" s="34">
        <v>0</v>
      </c>
      <c r="M355" s="34"/>
      <c r="N355" s="35"/>
      <c r="O355" s="34"/>
      <c r="P355" s="92"/>
      <c r="Q355" s="34"/>
      <c r="R355" s="35"/>
      <c r="S355" s="57"/>
      <c r="T355" s="57"/>
      <c r="U355" s="57"/>
      <c r="V355" s="59"/>
      <c r="W355" s="29">
        <v>0</v>
      </c>
      <c r="X355" s="34">
        <v>2012.4</v>
      </c>
      <c r="Y355" s="34">
        <f t="shared" si="259"/>
        <v>2012.4</v>
      </c>
      <c r="Z355" s="212" t="s">
        <v>263</v>
      </c>
    </row>
    <row r="356" spans="1:27" ht="26.25" customHeight="1" x14ac:dyDescent="0.25">
      <c r="A356" s="32" t="s">
        <v>310</v>
      </c>
      <c r="B356" s="90"/>
      <c r="C356" s="34"/>
      <c r="D356" s="91"/>
      <c r="E356" s="57"/>
      <c r="F356" s="57"/>
      <c r="G356" s="57"/>
      <c r="H356" s="92"/>
      <c r="I356" s="57"/>
      <c r="J356" s="57"/>
      <c r="K356" s="93"/>
      <c r="L356" s="34">
        <v>0</v>
      </c>
      <c r="M356" s="34"/>
      <c r="N356" s="35"/>
      <c r="O356" s="34"/>
      <c r="P356" s="92">
        <v>0</v>
      </c>
      <c r="Q356" s="34">
        <v>90</v>
      </c>
      <c r="R356" s="35">
        <v>0</v>
      </c>
      <c r="S356" s="57">
        <f t="shared" si="257"/>
        <v>90</v>
      </c>
      <c r="T356" s="57">
        <v>0</v>
      </c>
      <c r="U356" s="57">
        <v>0</v>
      </c>
      <c r="V356" s="59">
        <v>0</v>
      </c>
      <c r="W356" s="29">
        <f t="shared" si="212"/>
        <v>90</v>
      </c>
      <c r="X356" s="34">
        <v>90</v>
      </c>
      <c r="Y356" s="34">
        <f t="shared" si="259"/>
        <v>0</v>
      </c>
      <c r="Z356" s="212">
        <f t="shared" si="260"/>
        <v>1</v>
      </c>
    </row>
    <row r="357" spans="1:27" ht="26.25" customHeight="1" x14ac:dyDescent="0.25">
      <c r="A357" s="32" t="s">
        <v>369</v>
      </c>
      <c r="B357" s="102"/>
      <c r="C357" s="38"/>
      <c r="D357" s="99"/>
      <c r="E357" s="62"/>
      <c r="F357" s="62"/>
      <c r="G357" s="62"/>
      <c r="H357" s="100"/>
      <c r="I357" s="62"/>
      <c r="J357" s="62"/>
      <c r="K357" s="101"/>
      <c r="L357" s="38">
        <v>0</v>
      </c>
      <c r="M357" s="38"/>
      <c r="N357" s="42"/>
      <c r="O357" s="38"/>
      <c r="P357" s="100"/>
      <c r="Q357" s="38"/>
      <c r="R357" s="42"/>
      <c r="S357" s="62"/>
      <c r="T357" s="62"/>
      <c r="U357" s="62"/>
      <c r="V357" s="64"/>
      <c r="W357" s="194">
        <v>0</v>
      </c>
      <c r="X357" s="38">
        <v>150</v>
      </c>
      <c r="Y357" s="34">
        <f t="shared" si="259"/>
        <v>150</v>
      </c>
      <c r="Z357" s="212" t="s">
        <v>263</v>
      </c>
    </row>
    <row r="358" spans="1:27" ht="27.75" customHeight="1" thickBot="1" x14ac:dyDescent="0.3">
      <c r="A358" s="36" t="s">
        <v>311</v>
      </c>
      <c r="B358" s="102"/>
      <c r="C358" s="62">
        <v>0</v>
      </c>
      <c r="D358" s="99">
        <v>0</v>
      </c>
      <c r="E358" s="62">
        <f t="shared" si="253"/>
        <v>0</v>
      </c>
      <c r="F358" s="62">
        <v>0</v>
      </c>
      <c r="G358" s="62">
        <v>0</v>
      </c>
      <c r="H358" s="100">
        <f t="shared" si="254"/>
        <v>0</v>
      </c>
      <c r="I358" s="62">
        <v>0</v>
      </c>
      <c r="J358" s="62">
        <v>0</v>
      </c>
      <c r="K358" s="101">
        <f t="shared" ref="K358:K389" si="261">SUM(H358:J358)</f>
        <v>0</v>
      </c>
      <c r="L358" s="62">
        <v>0</v>
      </c>
      <c r="M358" s="38">
        <f t="shared" si="255"/>
        <v>0</v>
      </c>
      <c r="N358" s="100" t="s">
        <v>39</v>
      </c>
      <c r="O358" s="62">
        <v>0</v>
      </c>
      <c r="P358" s="100">
        <f t="shared" si="256"/>
        <v>0</v>
      </c>
      <c r="Q358" s="62">
        <v>0</v>
      </c>
      <c r="R358" s="100">
        <v>0</v>
      </c>
      <c r="S358" s="62">
        <f t="shared" si="257"/>
        <v>0</v>
      </c>
      <c r="T358" s="62">
        <v>0</v>
      </c>
      <c r="U358" s="62">
        <v>0</v>
      </c>
      <c r="V358" s="62">
        <v>0</v>
      </c>
      <c r="W358" s="101">
        <f t="shared" si="212"/>
        <v>0</v>
      </c>
      <c r="X358" s="62">
        <v>0</v>
      </c>
      <c r="Y358" s="34">
        <f t="shared" si="259"/>
        <v>0</v>
      </c>
      <c r="Z358" s="212" t="s">
        <v>263</v>
      </c>
    </row>
    <row r="359" spans="1:27" ht="13.5" customHeight="1" thickBot="1" x14ac:dyDescent="0.3">
      <c r="A359" s="116" t="s">
        <v>245</v>
      </c>
      <c r="B359" s="109"/>
      <c r="C359" s="84">
        <f>SUM(C361:C362)</f>
        <v>850</v>
      </c>
      <c r="D359" s="85">
        <f>SUM(D361:D362)</f>
        <v>0</v>
      </c>
      <c r="E359" s="141">
        <f>SUM(C359:D359)</f>
        <v>850</v>
      </c>
      <c r="F359" s="141">
        <f>SUM(F361:F362)</f>
        <v>0</v>
      </c>
      <c r="G359" s="141">
        <f>SUM(G361:G362)</f>
        <v>0</v>
      </c>
      <c r="H359" s="142">
        <f>SUM(H361:H362)</f>
        <v>850</v>
      </c>
      <c r="I359" s="141">
        <f>SUM(I361:I362)</f>
        <v>0</v>
      </c>
      <c r="J359" s="141">
        <f>SUM(J361:J362)</f>
        <v>0</v>
      </c>
      <c r="K359" s="87">
        <f t="shared" si="261"/>
        <v>850</v>
      </c>
      <c r="L359" s="84">
        <f t="shared" ref="L359" si="262">SUM(L361:L362)</f>
        <v>850</v>
      </c>
      <c r="M359" s="84">
        <f>SUM(M361:M362)</f>
        <v>0</v>
      </c>
      <c r="N359" s="86">
        <f>L359/K359</f>
        <v>1</v>
      </c>
      <c r="O359" s="84">
        <f t="shared" ref="O359:T359" si="263">SUM(O361:O362)</f>
        <v>0</v>
      </c>
      <c r="P359" s="87">
        <f t="shared" si="263"/>
        <v>850</v>
      </c>
      <c r="Q359" s="84">
        <f t="shared" si="263"/>
        <v>100</v>
      </c>
      <c r="R359" s="86">
        <f t="shared" si="263"/>
        <v>55</v>
      </c>
      <c r="S359" s="84">
        <f t="shared" si="263"/>
        <v>1005</v>
      </c>
      <c r="T359" s="84">
        <f t="shared" si="263"/>
        <v>0</v>
      </c>
      <c r="U359" s="84">
        <f>SUM(U361:U362)</f>
        <v>0</v>
      </c>
      <c r="V359" s="84">
        <f>SUM(V361:V362)</f>
        <v>0</v>
      </c>
      <c r="W359" s="87">
        <f t="shared" si="212"/>
        <v>1005</v>
      </c>
      <c r="X359" s="84">
        <f t="shared" ref="X359" si="264">SUM(X361:X362)</f>
        <v>900</v>
      </c>
      <c r="Y359" s="84">
        <f>X359-W359</f>
        <v>-105</v>
      </c>
      <c r="Z359" s="211">
        <f>X359/W359</f>
        <v>0.89552238805970152</v>
      </c>
      <c r="AA359" s="191"/>
    </row>
    <row r="360" spans="1:27" ht="14.25" customHeight="1" x14ac:dyDescent="0.25">
      <c r="A360" s="117" t="s">
        <v>47</v>
      </c>
      <c r="B360" s="103"/>
      <c r="C360" s="26"/>
      <c r="D360" s="27"/>
      <c r="E360" s="26"/>
      <c r="F360" s="26"/>
      <c r="G360" s="26"/>
      <c r="H360" s="28"/>
      <c r="I360" s="26"/>
      <c r="J360" s="26"/>
      <c r="K360" s="29"/>
      <c r="L360" s="26"/>
      <c r="M360" s="26"/>
      <c r="N360" s="28"/>
      <c r="O360" s="26"/>
      <c r="P360" s="28"/>
      <c r="Q360" s="26"/>
      <c r="R360" s="28"/>
      <c r="S360" s="26"/>
      <c r="T360" s="26"/>
      <c r="U360" s="26"/>
      <c r="V360" s="26"/>
      <c r="W360" s="29"/>
      <c r="X360" s="26"/>
      <c r="Y360" s="26"/>
      <c r="Z360" s="203"/>
    </row>
    <row r="361" spans="1:27" ht="15" customHeight="1" x14ac:dyDescent="0.25">
      <c r="A361" s="114" t="s">
        <v>312</v>
      </c>
      <c r="B361" s="90"/>
      <c r="C361" s="34">
        <v>0</v>
      </c>
      <c r="D361" s="91">
        <v>0</v>
      </c>
      <c r="E361" s="57">
        <f>SUM(C361:D361)</f>
        <v>0</v>
      </c>
      <c r="F361" s="57">
        <v>0</v>
      </c>
      <c r="G361" s="57">
        <v>0</v>
      </c>
      <c r="H361" s="92">
        <f>SUM(E361:G361)</f>
        <v>0</v>
      </c>
      <c r="I361" s="57">
        <v>0</v>
      </c>
      <c r="J361" s="57">
        <v>0</v>
      </c>
      <c r="K361" s="93">
        <f t="shared" si="261"/>
        <v>0</v>
      </c>
      <c r="L361" s="34">
        <v>0</v>
      </c>
      <c r="M361" s="34">
        <f>L361-K361</f>
        <v>0</v>
      </c>
      <c r="N361" s="92" t="s">
        <v>39</v>
      </c>
      <c r="O361" s="57">
        <v>0</v>
      </c>
      <c r="P361" s="92">
        <f>L361+O361</f>
        <v>0</v>
      </c>
      <c r="Q361" s="57">
        <v>0</v>
      </c>
      <c r="R361" s="92">
        <v>0</v>
      </c>
      <c r="S361" s="57">
        <f>SUM(P361:R361)</f>
        <v>0</v>
      </c>
      <c r="T361" s="57">
        <v>0</v>
      </c>
      <c r="U361" s="57">
        <v>0</v>
      </c>
      <c r="V361" s="59">
        <v>0</v>
      </c>
      <c r="W361" s="29">
        <f t="shared" si="212"/>
        <v>0</v>
      </c>
      <c r="X361" s="57" t="s">
        <v>263</v>
      </c>
      <c r="Y361" s="57" t="s">
        <v>263</v>
      </c>
      <c r="Z361" s="212" t="s">
        <v>263</v>
      </c>
    </row>
    <row r="362" spans="1:27" ht="15" customHeight="1" thickBot="1" x14ac:dyDescent="0.3">
      <c r="A362" s="115" t="s">
        <v>260</v>
      </c>
      <c r="B362" s="102"/>
      <c r="C362" s="38">
        <v>850</v>
      </c>
      <c r="D362" s="99">
        <v>0</v>
      </c>
      <c r="E362" s="62">
        <f>SUM(C362:D362)</f>
        <v>850</v>
      </c>
      <c r="F362" s="62">
        <v>0</v>
      </c>
      <c r="G362" s="62">
        <v>0</v>
      </c>
      <c r="H362" s="100">
        <f>SUM(E362:G362)</f>
        <v>850</v>
      </c>
      <c r="I362" s="62">
        <v>0</v>
      </c>
      <c r="J362" s="62">
        <v>0</v>
      </c>
      <c r="K362" s="101">
        <f t="shared" si="261"/>
        <v>850</v>
      </c>
      <c r="L362" s="38">
        <v>850</v>
      </c>
      <c r="M362" s="38">
        <f>L362-K362</f>
        <v>0</v>
      </c>
      <c r="N362" s="100">
        <f>L362/K362</f>
        <v>1</v>
      </c>
      <c r="O362" s="62">
        <v>0</v>
      </c>
      <c r="P362" s="100">
        <f>L362+O362</f>
        <v>850</v>
      </c>
      <c r="Q362" s="62">
        <v>100</v>
      </c>
      <c r="R362" s="100">
        <f>51+4</f>
        <v>55</v>
      </c>
      <c r="S362" s="62">
        <f>SUM(P362:R362)</f>
        <v>1005</v>
      </c>
      <c r="T362" s="62">
        <v>0</v>
      </c>
      <c r="U362" s="62">
        <v>0</v>
      </c>
      <c r="V362" s="64">
        <v>0</v>
      </c>
      <c r="W362" s="194">
        <f t="shared" si="212"/>
        <v>1005</v>
      </c>
      <c r="X362" s="38">
        <v>900</v>
      </c>
      <c r="Y362" s="38">
        <f>X362-W362</f>
        <v>-105</v>
      </c>
      <c r="Z362" s="223">
        <f>X362/W362</f>
        <v>0.89552238805970152</v>
      </c>
    </row>
    <row r="363" spans="1:27" ht="16.350000000000001" customHeight="1" thickBot="1" x14ac:dyDescent="0.3">
      <c r="A363" s="116" t="s">
        <v>248</v>
      </c>
      <c r="B363" s="109"/>
      <c r="C363" s="84">
        <f>SUM(C365:C366)</f>
        <v>3342</v>
      </c>
      <c r="D363" s="85">
        <f>SUM(D365:D366)</f>
        <v>-595</v>
      </c>
      <c r="E363" s="84">
        <f>SUM(C363:D363)</f>
        <v>2747</v>
      </c>
      <c r="F363" s="84">
        <f>SUM(F365:F366)</f>
        <v>1500</v>
      </c>
      <c r="G363" s="84">
        <f>SUM(G365:G366)</f>
        <v>-95</v>
      </c>
      <c r="H363" s="86">
        <f>SUM(H365:H366)</f>
        <v>4152</v>
      </c>
      <c r="I363" s="84">
        <f>SUM(I365:I366)</f>
        <v>1093</v>
      </c>
      <c r="J363" s="84">
        <f>SUM(J365:J366)</f>
        <v>-1106.7</v>
      </c>
      <c r="K363" s="87">
        <f t="shared" si="261"/>
        <v>4138.3</v>
      </c>
      <c r="L363" s="84">
        <f t="shared" ref="L363" si="265">SUM(L365:L366)</f>
        <v>0</v>
      </c>
      <c r="M363" s="84">
        <f>SUM(M365:M366)</f>
        <v>-4138.3</v>
      </c>
      <c r="N363" s="142">
        <f>L363/K363</f>
        <v>0</v>
      </c>
      <c r="O363" s="141">
        <f t="shared" ref="O363:T363" si="266">SUM(O365:O366)</f>
        <v>0</v>
      </c>
      <c r="P363" s="143">
        <f t="shared" si="266"/>
        <v>0</v>
      </c>
      <c r="Q363" s="141">
        <f t="shared" si="266"/>
        <v>21651.5</v>
      </c>
      <c r="R363" s="142">
        <f t="shared" si="266"/>
        <v>-116.41000000000001</v>
      </c>
      <c r="S363" s="141">
        <f t="shared" si="266"/>
        <v>21535.09</v>
      </c>
      <c r="T363" s="141">
        <f t="shared" si="266"/>
        <v>75</v>
      </c>
      <c r="U363" s="141">
        <f>SUM(U365:U366)</f>
        <v>0</v>
      </c>
      <c r="V363" s="141">
        <f>SUM(V365:V366)</f>
        <v>239</v>
      </c>
      <c r="W363" s="87">
        <f t="shared" si="212"/>
        <v>21849.09</v>
      </c>
      <c r="X363" s="84">
        <f t="shared" ref="X363" si="267">SUM(X365:X366)</f>
        <v>23254</v>
      </c>
      <c r="Y363" s="84">
        <f>X363-W363</f>
        <v>1404.9099999999999</v>
      </c>
      <c r="Z363" s="211">
        <f>X363/W363</f>
        <v>1.0643006184696937</v>
      </c>
      <c r="AA363" s="191"/>
    </row>
    <row r="364" spans="1:27" ht="14.25" customHeight="1" x14ac:dyDescent="0.25">
      <c r="A364" s="117" t="s">
        <v>47</v>
      </c>
      <c r="B364" s="103"/>
      <c r="C364" s="26"/>
      <c r="D364" s="27"/>
      <c r="E364" s="26"/>
      <c r="F364" s="26"/>
      <c r="G364" s="26"/>
      <c r="H364" s="28"/>
      <c r="I364" s="26"/>
      <c r="J364" s="26"/>
      <c r="K364" s="29"/>
      <c r="L364" s="26"/>
      <c r="M364" s="26"/>
      <c r="N364" s="60"/>
      <c r="O364" s="59"/>
      <c r="P364" s="60"/>
      <c r="Q364" s="59"/>
      <c r="R364" s="60"/>
      <c r="S364" s="59"/>
      <c r="T364" s="59"/>
      <c r="U364" s="59"/>
      <c r="V364" s="59"/>
      <c r="W364" s="29"/>
      <c r="X364" s="26"/>
      <c r="Y364" s="26"/>
      <c r="Z364" s="203"/>
    </row>
    <row r="365" spans="1:27" ht="25.5" customHeight="1" x14ac:dyDescent="0.25">
      <c r="A365" s="32" t="s">
        <v>313</v>
      </c>
      <c r="B365" s="90"/>
      <c r="C365" s="34">
        <v>0</v>
      </c>
      <c r="D365" s="27">
        <v>0</v>
      </c>
      <c r="E365" s="59">
        <f>SUM(C365:D365)</f>
        <v>0</v>
      </c>
      <c r="F365" s="59">
        <v>0</v>
      </c>
      <c r="G365" s="59">
        <v>0</v>
      </c>
      <c r="H365" s="60">
        <f>SUM(E365:G365)</f>
        <v>0</v>
      </c>
      <c r="I365" s="59">
        <v>0</v>
      </c>
      <c r="J365" s="59">
        <v>0</v>
      </c>
      <c r="K365" s="29">
        <f t="shared" si="261"/>
        <v>0</v>
      </c>
      <c r="L365" s="34">
        <v>0</v>
      </c>
      <c r="M365" s="34">
        <f>L365-K365</f>
        <v>0</v>
      </c>
      <c r="N365" s="92" t="s">
        <v>39</v>
      </c>
      <c r="O365" s="57">
        <v>0</v>
      </c>
      <c r="P365" s="92">
        <f>L365+O365</f>
        <v>0</v>
      </c>
      <c r="Q365" s="57">
        <v>0</v>
      </c>
      <c r="R365" s="92">
        <v>0</v>
      </c>
      <c r="S365" s="57">
        <f>SUM(P365:R365)</f>
        <v>0</v>
      </c>
      <c r="T365" s="57">
        <v>0</v>
      </c>
      <c r="U365" s="57">
        <v>0</v>
      </c>
      <c r="V365" s="59">
        <v>0</v>
      </c>
      <c r="W365" s="29">
        <f t="shared" si="212"/>
        <v>0</v>
      </c>
      <c r="X365" s="57" t="s">
        <v>263</v>
      </c>
      <c r="Y365" s="57" t="s">
        <v>263</v>
      </c>
      <c r="Z365" s="212" t="s">
        <v>263</v>
      </c>
    </row>
    <row r="366" spans="1:27" ht="18" customHeight="1" thickBot="1" x14ac:dyDescent="0.3">
      <c r="A366" s="115" t="s">
        <v>260</v>
      </c>
      <c r="B366" s="102"/>
      <c r="C366" s="38">
        <v>3342</v>
      </c>
      <c r="D366" s="99">
        <f>205-800</f>
        <v>-595</v>
      </c>
      <c r="E366" s="62">
        <f>SUM(C366:D366)</f>
        <v>2747</v>
      </c>
      <c r="F366" s="62">
        <v>1500</v>
      </c>
      <c r="G366" s="62">
        <f>54-149</f>
        <v>-95</v>
      </c>
      <c r="H366" s="100">
        <f>SUM(E366:G366)</f>
        <v>4152</v>
      </c>
      <c r="I366" s="62">
        <v>1093</v>
      </c>
      <c r="J366" s="62">
        <f>54.3-21-50-1090</f>
        <v>-1106.7</v>
      </c>
      <c r="K366" s="101">
        <f t="shared" si="261"/>
        <v>4138.3</v>
      </c>
      <c r="L366" s="38">
        <v>0</v>
      </c>
      <c r="M366" s="38">
        <f>L366-K366</f>
        <v>-4138.3</v>
      </c>
      <c r="N366" s="100">
        <f>L366/K366</f>
        <v>0</v>
      </c>
      <c r="O366" s="62">
        <v>0</v>
      </c>
      <c r="P366" s="100">
        <f>L366+O366</f>
        <v>0</v>
      </c>
      <c r="Q366" s="62">
        <v>21651.5</v>
      </c>
      <c r="R366" s="100">
        <f>1.6-118.01</f>
        <v>-116.41000000000001</v>
      </c>
      <c r="S366" s="62">
        <f>SUM(P366:R366)</f>
        <v>21535.09</v>
      </c>
      <c r="T366" s="62">
        <v>75</v>
      </c>
      <c r="U366" s="62">
        <v>0</v>
      </c>
      <c r="V366" s="64">
        <f>239</f>
        <v>239</v>
      </c>
      <c r="W366" s="194">
        <f t="shared" si="212"/>
        <v>21849.09</v>
      </c>
      <c r="X366" s="38">
        <v>23254</v>
      </c>
      <c r="Y366" s="38">
        <f>X366-W366</f>
        <v>1404.9099999999999</v>
      </c>
      <c r="Z366" s="223">
        <f>X366/W366</f>
        <v>1.0643006184696937</v>
      </c>
    </row>
    <row r="367" spans="1:27" ht="15" customHeight="1" thickBot="1" x14ac:dyDescent="0.3">
      <c r="A367" s="130" t="s">
        <v>251</v>
      </c>
      <c r="B367" s="109"/>
      <c r="C367" s="84">
        <f>SUM(C369:C371)</f>
        <v>23190.41</v>
      </c>
      <c r="D367" s="85">
        <f>SUM(D369:D371)</f>
        <v>0</v>
      </c>
      <c r="E367" s="84">
        <f>SUM(C367:D367)</f>
        <v>23190.41</v>
      </c>
      <c r="F367" s="84">
        <f>SUM(F369:F371)</f>
        <v>0</v>
      </c>
      <c r="G367" s="84">
        <f>SUM(G369:G371)</f>
        <v>48</v>
      </c>
      <c r="H367" s="86">
        <f>SUM(H369:H371)</f>
        <v>23238.41</v>
      </c>
      <c r="I367" s="84">
        <f>SUM(I369:I371)</f>
        <v>5120</v>
      </c>
      <c r="J367" s="84">
        <f>SUM(J369:J371)</f>
        <v>-415.56</v>
      </c>
      <c r="K367" s="87">
        <f t="shared" si="261"/>
        <v>27942.85</v>
      </c>
      <c r="L367" s="84">
        <f t="shared" ref="L367" si="268">SUM(L369:L371)</f>
        <v>10750</v>
      </c>
      <c r="M367" s="84">
        <f>SUM(M369:M371)</f>
        <v>-17192.849999999999</v>
      </c>
      <c r="N367" s="142">
        <f>L367/K367</f>
        <v>0.3847137997734662</v>
      </c>
      <c r="O367" s="141">
        <f>SUM(O369:O371)</f>
        <v>0</v>
      </c>
      <c r="P367" s="143">
        <f>SUM(P369:P371)</f>
        <v>10750</v>
      </c>
      <c r="Q367" s="141">
        <f>SUM(Q369:Q371)</f>
        <v>80</v>
      </c>
      <c r="R367" s="142">
        <f>SUM(R369:R372)</f>
        <v>50</v>
      </c>
      <c r="S367" s="141">
        <f>SUM(S369:S372)</f>
        <v>10880</v>
      </c>
      <c r="T367" s="141">
        <f>SUM(T369:T372)</f>
        <v>0</v>
      </c>
      <c r="U367" s="141">
        <f>SUM(U369:U372)</f>
        <v>0</v>
      </c>
      <c r="V367" s="141">
        <f>SUM(V369:V372)</f>
        <v>0</v>
      </c>
      <c r="W367" s="87">
        <f t="shared" si="212"/>
        <v>10880</v>
      </c>
      <c r="X367" s="84">
        <f t="shared" ref="X367" si="269">SUM(X369:X371)</f>
        <v>900</v>
      </c>
      <c r="Y367" s="84">
        <f>X367-W367</f>
        <v>-9980</v>
      </c>
      <c r="Z367" s="211">
        <f>X367/W367</f>
        <v>8.2720588235294115E-2</v>
      </c>
      <c r="AA367" s="191"/>
    </row>
    <row r="368" spans="1:27" ht="15" customHeight="1" x14ac:dyDescent="0.25">
      <c r="A368" s="117" t="s">
        <v>47</v>
      </c>
      <c r="B368" s="103"/>
      <c r="C368" s="26"/>
      <c r="D368" s="27"/>
      <c r="E368" s="26"/>
      <c r="F368" s="26"/>
      <c r="G368" s="26"/>
      <c r="H368" s="28"/>
      <c r="I368" s="26"/>
      <c r="J368" s="26"/>
      <c r="K368" s="29"/>
      <c r="L368" s="26"/>
      <c r="M368" s="26"/>
      <c r="N368" s="60"/>
      <c r="O368" s="59"/>
      <c r="P368" s="60"/>
      <c r="Q368" s="59"/>
      <c r="R368" s="60"/>
      <c r="S368" s="59"/>
      <c r="T368" s="59"/>
      <c r="U368" s="59"/>
      <c r="V368" s="59"/>
      <c r="W368" s="29"/>
      <c r="X368" s="26"/>
      <c r="Y368" s="26"/>
      <c r="Z368" s="203"/>
    </row>
    <row r="369" spans="1:27" ht="24.75" customHeight="1" x14ac:dyDescent="0.25">
      <c r="A369" s="32" t="s">
        <v>314</v>
      </c>
      <c r="B369" s="90"/>
      <c r="C369" s="57">
        <v>0</v>
      </c>
      <c r="D369" s="58">
        <v>0</v>
      </c>
      <c r="E369" s="59">
        <f>SUM(C369:D369)</f>
        <v>0</v>
      </c>
      <c r="F369" s="59">
        <v>0</v>
      </c>
      <c r="G369" s="59">
        <v>0</v>
      </c>
      <c r="H369" s="60">
        <f>SUM(E369:G369)</f>
        <v>0</v>
      </c>
      <c r="I369" s="59">
        <v>0</v>
      </c>
      <c r="J369" s="59">
        <v>0</v>
      </c>
      <c r="K369" s="29">
        <f t="shared" si="261"/>
        <v>0</v>
      </c>
      <c r="L369" s="57">
        <v>0</v>
      </c>
      <c r="M369" s="57">
        <f>L369-K369</f>
        <v>0</v>
      </c>
      <c r="N369" s="92" t="s">
        <v>39</v>
      </c>
      <c r="O369" s="57">
        <v>0</v>
      </c>
      <c r="P369" s="92">
        <f>L369+O369</f>
        <v>0</v>
      </c>
      <c r="Q369" s="57">
        <v>0</v>
      </c>
      <c r="R369" s="92">
        <v>0</v>
      </c>
      <c r="S369" s="57">
        <f>SUM(P369:R369)</f>
        <v>0</v>
      </c>
      <c r="T369" s="57">
        <v>0</v>
      </c>
      <c r="U369" s="57">
        <v>0</v>
      </c>
      <c r="V369" s="59">
        <v>0</v>
      </c>
      <c r="W369" s="29">
        <f t="shared" si="212"/>
        <v>0</v>
      </c>
      <c r="X369" s="57" t="s">
        <v>263</v>
      </c>
      <c r="Y369" s="57" t="s">
        <v>263</v>
      </c>
      <c r="Z369" s="212" t="s">
        <v>263</v>
      </c>
    </row>
    <row r="370" spans="1:27" ht="15" customHeight="1" x14ac:dyDescent="0.25">
      <c r="A370" s="114" t="s">
        <v>260</v>
      </c>
      <c r="B370" s="90"/>
      <c r="C370" s="34">
        <v>22440.41</v>
      </c>
      <c r="D370" s="58">
        <v>0</v>
      </c>
      <c r="E370" s="59">
        <f t="shared" ref="E370:E371" si="270">SUM(C370:D370)</f>
        <v>22440.41</v>
      </c>
      <c r="F370" s="59">
        <v>0</v>
      </c>
      <c r="G370" s="59">
        <f>48</f>
        <v>48</v>
      </c>
      <c r="H370" s="60">
        <f t="shared" ref="H370:H371" si="271">SUM(E370:G370)</f>
        <v>22488.41</v>
      </c>
      <c r="I370" s="59">
        <v>5120</v>
      </c>
      <c r="J370" s="59">
        <f>-415.56</f>
        <v>-415.56</v>
      </c>
      <c r="K370" s="29">
        <f t="shared" si="261"/>
        <v>27192.85</v>
      </c>
      <c r="L370" s="34">
        <v>10000</v>
      </c>
      <c r="M370" s="57">
        <f t="shared" ref="M370:M371" si="272">L370-K370</f>
        <v>-17192.849999999999</v>
      </c>
      <c r="N370" s="92">
        <f t="shared" ref="N370:N371" si="273">L370/K370</f>
        <v>0.36774372675170131</v>
      </c>
      <c r="O370" s="57">
        <v>0</v>
      </c>
      <c r="P370" s="92">
        <f t="shared" ref="P370:P371" si="274">L370+O370</f>
        <v>10000</v>
      </c>
      <c r="Q370" s="57">
        <v>80</v>
      </c>
      <c r="R370" s="92">
        <v>0</v>
      </c>
      <c r="S370" s="57">
        <f t="shared" ref="S370" si="275">SUM(P370:R370)</f>
        <v>10080</v>
      </c>
      <c r="T370" s="57">
        <v>0</v>
      </c>
      <c r="U370" s="57">
        <v>0</v>
      </c>
      <c r="V370" s="59">
        <v>0</v>
      </c>
      <c r="W370" s="29">
        <f t="shared" si="212"/>
        <v>10080</v>
      </c>
      <c r="X370" s="34">
        <v>0</v>
      </c>
      <c r="Y370" s="34">
        <f>X370-W370</f>
        <v>-10080</v>
      </c>
      <c r="Z370" s="213">
        <f>X370/W370</f>
        <v>0</v>
      </c>
    </row>
    <row r="371" spans="1:27" ht="27.75" customHeight="1" x14ac:dyDescent="0.25">
      <c r="A371" s="152" t="s">
        <v>315</v>
      </c>
      <c r="B371" s="113" t="s">
        <v>350</v>
      </c>
      <c r="C371" s="34">
        <v>750</v>
      </c>
      <c r="D371" s="153">
        <v>0</v>
      </c>
      <c r="E371" s="57">
        <f t="shared" si="270"/>
        <v>750</v>
      </c>
      <c r="F371" s="57">
        <v>0</v>
      </c>
      <c r="G371" s="57">
        <v>0</v>
      </c>
      <c r="H371" s="92">
        <f t="shared" si="271"/>
        <v>750</v>
      </c>
      <c r="I371" s="57">
        <v>0</v>
      </c>
      <c r="J371" s="57">
        <v>0</v>
      </c>
      <c r="K371" s="93">
        <f t="shared" si="261"/>
        <v>750</v>
      </c>
      <c r="L371" s="34">
        <v>750</v>
      </c>
      <c r="M371" s="57">
        <f t="shared" si="272"/>
        <v>0</v>
      </c>
      <c r="N371" s="92">
        <f t="shared" si="273"/>
        <v>1</v>
      </c>
      <c r="O371" s="57">
        <v>0</v>
      </c>
      <c r="P371" s="92">
        <f t="shared" si="274"/>
        <v>750</v>
      </c>
      <c r="Q371" s="57">
        <v>0</v>
      </c>
      <c r="R371" s="92">
        <v>0</v>
      </c>
      <c r="S371" s="57">
        <f>SUM(P371:R371)</f>
        <v>750</v>
      </c>
      <c r="T371" s="57">
        <v>0</v>
      </c>
      <c r="U371" s="57">
        <v>0</v>
      </c>
      <c r="V371" s="59">
        <v>0</v>
      </c>
      <c r="W371" s="29">
        <f t="shared" si="212"/>
        <v>750</v>
      </c>
      <c r="X371" s="34">
        <v>900</v>
      </c>
      <c r="Y371" s="34">
        <f t="shared" ref="Y371:Y372" si="276">X371-W371</f>
        <v>150</v>
      </c>
      <c r="Z371" s="213">
        <f t="shared" ref="Z371:Z372" si="277">X371/W371</f>
        <v>1.2</v>
      </c>
    </row>
    <row r="372" spans="1:27" ht="28.5" customHeight="1" thickBot="1" x14ac:dyDescent="0.3">
      <c r="A372" s="154" t="s">
        <v>316</v>
      </c>
      <c r="B372" s="150"/>
      <c r="C372" s="40"/>
      <c r="D372" s="63"/>
      <c r="E372" s="64"/>
      <c r="F372" s="64"/>
      <c r="G372" s="64"/>
      <c r="H372" s="96"/>
      <c r="I372" s="64"/>
      <c r="J372" s="64"/>
      <c r="K372" s="194"/>
      <c r="L372" s="40">
        <v>0</v>
      </c>
      <c r="M372" s="64"/>
      <c r="N372" s="96"/>
      <c r="O372" s="64"/>
      <c r="P372" s="224">
        <v>0</v>
      </c>
      <c r="Q372" s="64">
        <v>0</v>
      </c>
      <c r="R372" s="96">
        <f>50</f>
        <v>50</v>
      </c>
      <c r="S372" s="64">
        <f>SUM(P372:R372)</f>
        <v>50</v>
      </c>
      <c r="T372" s="64">
        <v>0</v>
      </c>
      <c r="U372" s="64">
        <v>0</v>
      </c>
      <c r="V372" s="64">
        <v>0</v>
      </c>
      <c r="W372" s="194">
        <f t="shared" si="212"/>
        <v>50</v>
      </c>
      <c r="X372" s="40">
        <v>0</v>
      </c>
      <c r="Y372" s="34">
        <f t="shared" si="276"/>
        <v>-50</v>
      </c>
      <c r="Z372" s="213">
        <f t="shared" si="277"/>
        <v>0</v>
      </c>
    </row>
    <row r="373" spans="1:27" ht="15" customHeight="1" thickBot="1" x14ac:dyDescent="0.3">
      <c r="A373" s="131" t="s">
        <v>317</v>
      </c>
      <c r="B373" s="132"/>
      <c r="C373" s="133" t="e">
        <f>SUM(C275+C278+C284+C294+C300+C304+C322+C327+#REF!+C337+C342+C349+C359+C363+C367)</f>
        <v>#REF!</v>
      </c>
      <c r="D373" s="134" t="e">
        <f>SUM(D275+D278+D284+D294+D300+D304+D322+D327+#REF!+D337+D342+D349+D359+D363+D367)</f>
        <v>#REF!</v>
      </c>
      <c r="E373" s="133" t="e">
        <f>SUM(C373:D373)</f>
        <v>#REF!</v>
      </c>
      <c r="F373" s="133" t="e">
        <f>F275+F278+F284+F294+F300+F304+F322+F327+#REF!+F337+F342+F349+F359+F363+F367</f>
        <v>#REF!</v>
      </c>
      <c r="G373" s="133" t="e">
        <f>SUM(G275+G278+G284+G294+G300+G304+G322+G327+#REF!+G337+G342+G349+G359+G363+G367)</f>
        <v>#REF!</v>
      </c>
      <c r="H373" s="135" t="e">
        <f>H275+H278+H284+H294+H300+H304+H322+H327+#REF!+H337+H342+H349+H359+H363+H367</f>
        <v>#REF!</v>
      </c>
      <c r="I373" s="133" t="e">
        <f>I275+I278+I284+I294+I300+I304+I322+I327+#REF!+I337+I342+I349+I359+I363+I367</f>
        <v>#REF!</v>
      </c>
      <c r="J373" s="133" t="e">
        <f>SUM(J275+J278+J284+J294+J300+J304+J322+J327+#REF!+J337+J342+J349+J359+J363+J367)</f>
        <v>#REF!</v>
      </c>
      <c r="K373" s="136" t="e">
        <f t="shared" si="261"/>
        <v>#REF!</v>
      </c>
      <c r="L373" s="133">
        <f>SUM(L275+L278+L284+L294+L300+L304+L322+L327+L337+L342+L349+L359+L363+L367)</f>
        <v>346340.12000000005</v>
      </c>
      <c r="M373" s="133" t="e">
        <f>SUM(M275+M278+M284+M294+M300+M304+M322+M327+#REF!+M337+M342+M349+M359+M363+M367)</f>
        <v>#REF!</v>
      </c>
      <c r="N373" s="135" t="e">
        <f>L373/K373</f>
        <v>#REF!</v>
      </c>
      <c r="O373" s="133">
        <f t="shared" ref="O373:V373" si="278">SUM(O275+O278+O284+O294+O300+O304+O322+O327+O337+O342+O349+O359+O363+O367)</f>
        <v>8171.4999999999982</v>
      </c>
      <c r="P373" s="136">
        <f t="shared" si="278"/>
        <v>352047.62</v>
      </c>
      <c r="Q373" s="133">
        <f t="shared" si="278"/>
        <v>153748.21</v>
      </c>
      <c r="R373" s="135">
        <f t="shared" si="278"/>
        <v>1313.8799999999999</v>
      </c>
      <c r="S373" s="133">
        <f t="shared" si="278"/>
        <v>508303.71</v>
      </c>
      <c r="T373" s="133">
        <f t="shared" si="278"/>
        <v>14043.550000000001</v>
      </c>
      <c r="U373" s="133">
        <f t="shared" si="278"/>
        <v>400</v>
      </c>
      <c r="V373" s="133">
        <f t="shared" si="278"/>
        <v>-5173.3999999999996</v>
      </c>
      <c r="W373" s="136">
        <f>SUM(S373:V373)</f>
        <v>517573.86</v>
      </c>
      <c r="X373" s="133">
        <f>SUM(X275+X278+X284+X294+X300+X304+X322+X327+X337+X342+X349+X359+X363+X367)</f>
        <v>532078.65</v>
      </c>
      <c r="Y373" s="133">
        <f>X373-W373</f>
        <v>14504.790000000037</v>
      </c>
      <c r="Z373" s="217">
        <f>X373/W373</f>
        <v>1.0280245799121308</v>
      </c>
      <c r="AA373" s="191"/>
    </row>
    <row r="374" spans="1:27" ht="15" customHeight="1" thickBot="1" x14ac:dyDescent="0.3">
      <c r="A374" s="155" t="s">
        <v>318</v>
      </c>
      <c r="B374" s="156"/>
      <c r="C374" s="133" t="e">
        <f>C272+C373</f>
        <v>#REF!</v>
      </c>
      <c r="D374" s="134" t="e">
        <f>D272+D373</f>
        <v>#REF!</v>
      </c>
      <c r="E374" s="133" t="e">
        <f>SUM(C374:D374)</f>
        <v>#REF!</v>
      </c>
      <c r="F374" s="133" t="e">
        <f>F272+F373</f>
        <v>#REF!</v>
      </c>
      <c r="G374" s="133" t="e">
        <f>SUM(G272+G373)</f>
        <v>#REF!</v>
      </c>
      <c r="H374" s="135" t="e">
        <f>H272+H373</f>
        <v>#REF!</v>
      </c>
      <c r="I374" s="133" t="e">
        <f>I272+I373</f>
        <v>#REF!</v>
      </c>
      <c r="J374" s="133" t="e">
        <f>SUM(J272+J373)</f>
        <v>#REF!</v>
      </c>
      <c r="K374" s="136" t="e">
        <f t="shared" si="261"/>
        <v>#REF!</v>
      </c>
      <c r="L374" s="133">
        <f>L272+L373</f>
        <v>1873253.1000000003</v>
      </c>
      <c r="M374" s="133" t="e">
        <f>M272+M373</f>
        <v>#REF!</v>
      </c>
      <c r="N374" s="135" t="e">
        <f>L374/K374</f>
        <v>#REF!</v>
      </c>
      <c r="O374" s="133">
        <f t="shared" ref="O374:V374" si="279">SUM(O272+O373)</f>
        <v>11354.509999999998</v>
      </c>
      <c r="P374" s="136">
        <f t="shared" si="279"/>
        <v>1884480.4500000002</v>
      </c>
      <c r="Q374" s="133">
        <f t="shared" si="279"/>
        <v>205314.36</v>
      </c>
      <c r="R374" s="135">
        <f t="shared" si="279"/>
        <v>62143.86</v>
      </c>
      <c r="S374" s="133">
        <f t="shared" si="279"/>
        <v>2172117.6199999996</v>
      </c>
      <c r="T374" s="133">
        <f t="shared" si="279"/>
        <v>22238.020000000004</v>
      </c>
      <c r="U374" s="133">
        <f t="shared" si="279"/>
        <v>0</v>
      </c>
      <c r="V374" s="133">
        <f t="shared" si="279"/>
        <v>13048.989999999996</v>
      </c>
      <c r="W374" s="136">
        <f t="shared" si="212"/>
        <v>2207404.63</v>
      </c>
      <c r="X374" s="133">
        <f>X272+X373</f>
        <v>2085807.56</v>
      </c>
      <c r="Y374" s="133">
        <f>X374-W374</f>
        <v>-121597.06999999983</v>
      </c>
      <c r="Z374" s="217">
        <f>X374/W374</f>
        <v>0.94491400971646966</v>
      </c>
      <c r="AA374" s="191"/>
    </row>
    <row r="375" spans="1:27" ht="12" customHeight="1" thickBot="1" x14ac:dyDescent="0.3">
      <c r="A375" s="157"/>
      <c r="B375" s="158"/>
      <c r="C375" s="137"/>
      <c r="D375" s="138"/>
      <c r="E375" s="137"/>
      <c r="F375" s="137"/>
      <c r="G375" s="137"/>
      <c r="H375" s="139"/>
      <c r="I375" s="137"/>
      <c r="J375" s="137"/>
      <c r="K375" s="194"/>
      <c r="L375" s="137"/>
      <c r="M375" s="137"/>
      <c r="N375" s="139"/>
      <c r="O375" s="137"/>
      <c r="P375" s="218"/>
      <c r="Q375" s="137"/>
      <c r="R375" s="139"/>
      <c r="S375" s="137"/>
      <c r="T375" s="137"/>
      <c r="U375" s="137"/>
      <c r="V375" s="137"/>
      <c r="W375" s="194"/>
      <c r="X375" s="137"/>
      <c r="Y375" s="137"/>
      <c r="Z375" s="219"/>
    </row>
    <row r="376" spans="1:27" ht="15.75" customHeight="1" thickBot="1" x14ac:dyDescent="0.3">
      <c r="A376" s="51" t="s">
        <v>319</v>
      </c>
      <c r="B376" s="159"/>
      <c r="C376" s="53"/>
      <c r="D376" s="54"/>
      <c r="E376" s="53"/>
      <c r="F376" s="53"/>
      <c r="G376" s="53"/>
      <c r="H376" s="55"/>
      <c r="I376" s="53"/>
      <c r="J376" s="53"/>
      <c r="K376" s="56"/>
      <c r="L376" s="53"/>
      <c r="M376" s="53"/>
      <c r="N376" s="55"/>
      <c r="O376" s="53"/>
      <c r="P376" s="56"/>
      <c r="Q376" s="53"/>
      <c r="R376" s="55"/>
      <c r="S376" s="53"/>
      <c r="T376" s="53"/>
      <c r="U376" s="160"/>
      <c r="V376" s="160"/>
      <c r="W376" s="56"/>
      <c r="X376" s="53"/>
      <c r="Y376" s="53"/>
      <c r="Z376" s="206"/>
    </row>
    <row r="377" spans="1:27" ht="15" customHeight="1" x14ac:dyDescent="0.25">
      <c r="A377" s="24" t="s">
        <v>320</v>
      </c>
      <c r="B377" s="103"/>
      <c r="C377" s="26">
        <v>9350</v>
      </c>
      <c r="D377" s="27">
        <v>0</v>
      </c>
      <c r="E377" s="26">
        <f>SUM(C377:D377)</f>
        <v>9350</v>
      </c>
      <c r="F377" s="26">
        <v>0</v>
      </c>
      <c r="G377" s="26">
        <v>0</v>
      </c>
      <c r="H377" s="28">
        <f>SUM(E377:G377)</f>
        <v>9350</v>
      </c>
      <c r="I377" s="26">
        <v>0</v>
      </c>
      <c r="J377" s="26">
        <v>0</v>
      </c>
      <c r="K377" s="29">
        <f t="shared" si="261"/>
        <v>9350</v>
      </c>
      <c r="L377" s="26">
        <v>12100</v>
      </c>
      <c r="M377" s="26">
        <f>L377-K377</f>
        <v>2750</v>
      </c>
      <c r="N377" s="28">
        <f>L377/K377</f>
        <v>1.2941176470588236</v>
      </c>
      <c r="O377" s="26">
        <v>0</v>
      </c>
      <c r="P377" s="28">
        <f>L377+O377</f>
        <v>12100</v>
      </c>
      <c r="Q377" s="26">
        <v>0</v>
      </c>
      <c r="R377" s="28">
        <v>0</v>
      </c>
      <c r="S377" s="26">
        <f>SUM(P377:R377)</f>
        <v>12100</v>
      </c>
      <c r="T377" s="26">
        <v>0</v>
      </c>
      <c r="U377" s="26">
        <v>0</v>
      </c>
      <c r="V377" s="26">
        <v>0</v>
      </c>
      <c r="W377" s="29">
        <f t="shared" si="212"/>
        <v>12100</v>
      </c>
      <c r="X377" s="26">
        <v>12000</v>
      </c>
      <c r="Y377" s="26">
        <f>X377-W377</f>
        <v>-100</v>
      </c>
      <c r="Z377" s="207">
        <f>X377/W377</f>
        <v>0.99173553719008267</v>
      </c>
    </row>
    <row r="378" spans="1:27" ht="26.25" customHeight="1" x14ac:dyDescent="0.25">
      <c r="A378" s="32" t="s">
        <v>321</v>
      </c>
      <c r="B378" s="90"/>
      <c r="C378" s="34">
        <v>0</v>
      </c>
      <c r="D378" s="27">
        <v>0</v>
      </c>
      <c r="E378" s="26">
        <f t="shared" ref="E378:E383" si="280">SUM(C378:D378)</f>
        <v>0</v>
      </c>
      <c r="F378" s="26">
        <v>0</v>
      </c>
      <c r="G378" s="26">
        <v>0</v>
      </c>
      <c r="H378" s="28">
        <f t="shared" ref="H378:H383" si="281">SUM(E378:G378)</f>
        <v>0</v>
      </c>
      <c r="I378" s="26">
        <v>0</v>
      </c>
      <c r="J378" s="26">
        <v>0</v>
      </c>
      <c r="K378" s="29">
        <f t="shared" si="261"/>
        <v>0</v>
      </c>
      <c r="L378" s="34">
        <v>0</v>
      </c>
      <c r="M378" s="26">
        <f t="shared" ref="M378:M383" si="282">L378-K378</f>
        <v>0</v>
      </c>
      <c r="N378" s="60" t="s">
        <v>39</v>
      </c>
      <c r="O378" s="57">
        <v>0</v>
      </c>
      <c r="P378" s="28">
        <f t="shared" ref="P378:P383" si="283">L378+O378</f>
        <v>0</v>
      </c>
      <c r="Q378" s="57">
        <v>0</v>
      </c>
      <c r="R378" s="60">
        <v>0</v>
      </c>
      <c r="S378" s="26">
        <f t="shared" ref="S378:S382" si="284">SUM(P378:R378)</f>
        <v>0</v>
      </c>
      <c r="T378" s="26">
        <v>0</v>
      </c>
      <c r="U378" s="26">
        <v>0</v>
      </c>
      <c r="V378" s="26">
        <v>0</v>
      </c>
      <c r="W378" s="29">
        <f t="shared" si="212"/>
        <v>0</v>
      </c>
      <c r="X378" s="34">
        <v>0</v>
      </c>
      <c r="Y378" s="26">
        <f t="shared" ref="Y378:Y383" si="285">X378-W378</f>
        <v>0</v>
      </c>
      <c r="Z378" s="207" t="s">
        <v>263</v>
      </c>
    </row>
    <row r="379" spans="1:27" ht="17.25" customHeight="1" x14ac:dyDescent="0.25">
      <c r="A379" s="32" t="s">
        <v>322</v>
      </c>
      <c r="B379" s="90"/>
      <c r="C379" s="34">
        <v>0</v>
      </c>
      <c r="D379" s="27">
        <v>0</v>
      </c>
      <c r="E379" s="26">
        <f t="shared" si="280"/>
        <v>0</v>
      </c>
      <c r="F379" s="26">
        <v>0</v>
      </c>
      <c r="G379" s="26">
        <v>0</v>
      </c>
      <c r="H379" s="28">
        <f t="shared" si="281"/>
        <v>0</v>
      </c>
      <c r="I379" s="26">
        <v>0</v>
      </c>
      <c r="J379" s="26">
        <v>0</v>
      </c>
      <c r="K379" s="29">
        <f t="shared" si="261"/>
        <v>0</v>
      </c>
      <c r="L379" s="34">
        <v>0</v>
      </c>
      <c r="M379" s="26">
        <f t="shared" si="282"/>
        <v>0</v>
      </c>
      <c r="N379" s="60" t="s">
        <v>39</v>
      </c>
      <c r="O379" s="57">
        <v>0</v>
      </c>
      <c r="P379" s="28">
        <f t="shared" si="283"/>
        <v>0</v>
      </c>
      <c r="Q379" s="57">
        <v>0</v>
      </c>
      <c r="R379" s="60">
        <v>0</v>
      </c>
      <c r="S379" s="26">
        <f t="shared" si="284"/>
        <v>0</v>
      </c>
      <c r="T379" s="26">
        <v>0</v>
      </c>
      <c r="U379" s="26">
        <v>0</v>
      </c>
      <c r="V379" s="26">
        <v>0</v>
      </c>
      <c r="W379" s="29">
        <f t="shared" si="212"/>
        <v>0</v>
      </c>
      <c r="X379" s="34">
        <v>0</v>
      </c>
      <c r="Y379" s="26">
        <f t="shared" si="285"/>
        <v>0</v>
      </c>
      <c r="Z379" s="207" t="s">
        <v>263</v>
      </c>
    </row>
    <row r="380" spans="1:27" ht="15" customHeight="1" x14ac:dyDescent="0.25">
      <c r="A380" s="32" t="s">
        <v>323</v>
      </c>
      <c r="B380" s="90"/>
      <c r="C380" s="34">
        <v>3200</v>
      </c>
      <c r="D380" s="27">
        <v>0</v>
      </c>
      <c r="E380" s="26">
        <f t="shared" si="280"/>
        <v>3200</v>
      </c>
      <c r="F380" s="26">
        <v>0</v>
      </c>
      <c r="G380" s="26">
        <v>0</v>
      </c>
      <c r="H380" s="28">
        <f t="shared" si="281"/>
        <v>3200</v>
      </c>
      <c r="I380" s="26">
        <v>0</v>
      </c>
      <c r="J380" s="26">
        <v>0</v>
      </c>
      <c r="K380" s="29">
        <f t="shared" si="261"/>
        <v>3200</v>
      </c>
      <c r="L380" s="34">
        <v>2859</v>
      </c>
      <c r="M380" s="26">
        <f t="shared" si="282"/>
        <v>-341</v>
      </c>
      <c r="N380" s="28">
        <f t="shared" ref="N380:N383" si="286">L380/K380</f>
        <v>0.8934375</v>
      </c>
      <c r="O380" s="34">
        <v>0</v>
      </c>
      <c r="P380" s="28">
        <f t="shared" si="283"/>
        <v>2859</v>
      </c>
      <c r="Q380" s="34">
        <v>0</v>
      </c>
      <c r="R380" s="28">
        <v>0</v>
      </c>
      <c r="S380" s="26">
        <f t="shared" si="284"/>
        <v>2859</v>
      </c>
      <c r="T380" s="26">
        <v>0</v>
      </c>
      <c r="U380" s="26">
        <v>0</v>
      </c>
      <c r="V380" s="26">
        <v>0</v>
      </c>
      <c r="W380" s="29">
        <f t="shared" ref="W380:W389" si="287">SUM(S380:V380)</f>
        <v>2859</v>
      </c>
      <c r="X380" s="34">
        <v>2859</v>
      </c>
      <c r="Y380" s="26">
        <f t="shared" si="285"/>
        <v>0</v>
      </c>
      <c r="Z380" s="207">
        <f t="shared" ref="Z380:Z383" si="288">X380/W380</f>
        <v>1</v>
      </c>
    </row>
    <row r="381" spans="1:27" ht="15" customHeight="1" x14ac:dyDescent="0.25">
      <c r="A381" s="32" t="s">
        <v>324</v>
      </c>
      <c r="B381" s="90"/>
      <c r="C381" s="34">
        <v>0</v>
      </c>
      <c r="D381" s="27">
        <v>0</v>
      </c>
      <c r="E381" s="26">
        <f t="shared" si="280"/>
        <v>0</v>
      </c>
      <c r="F381" s="26">
        <v>0</v>
      </c>
      <c r="G381" s="26">
        <v>0</v>
      </c>
      <c r="H381" s="28">
        <f t="shared" si="281"/>
        <v>0</v>
      </c>
      <c r="I381" s="26">
        <v>0</v>
      </c>
      <c r="J381" s="26">
        <v>0</v>
      </c>
      <c r="K381" s="29">
        <f t="shared" si="261"/>
        <v>0</v>
      </c>
      <c r="L381" s="34">
        <v>0</v>
      </c>
      <c r="M381" s="26">
        <f t="shared" si="282"/>
        <v>0</v>
      </c>
      <c r="N381" s="60" t="s">
        <v>39</v>
      </c>
      <c r="O381" s="57">
        <v>0</v>
      </c>
      <c r="P381" s="28">
        <f t="shared" si="283"/>
        <v>0</v>
      </c>
      <c r="Q381" s="57">
        <v>0</v>
      </c>
      <c r="R381" s="60">
        <v>0</v>
      </c>
      <c r="S381" s="26">
        <f t="shared" si="284"/>
        <v>0</v>
      </c>
      <c r="T381" s="26">
        <v>0</v>
      </c>
      <c r="U381" s="26">
        <v>0</v>
      </c>
      <c r="V381" s="26">
        <v>0</v>
      </c>
      <c r="W381" s="29">
        <f t="shared" si="287"/>
        <v>0</v>
      </c>
      <c r="X381" s="34">
        <v>0</v>
      </c>
      <c r="Y381" s="26">
        <f t="shared" si="285"/>
        <v>0</v>
      </c>
      <c r="Z381" s="207" t="s">
        <v>263</v>
      </c>
    </row>
    <row r="382" spans="1:27" ht="15" customHeight="1" x14ac:dyDescent="0.25">
      <c r="A382" s="32" t="s">
        <v>325</v>
      </c>
      <c r="B382" s="90"/>
      <c r="C382" s="34">
        <v>0</v>
      </c>
      <c r="D382" s="27">
        <v>0</v>
      </c>
      <c r="E382" s="26">
        <f t="shared" si="280"/>
        <v>0</v>
      </c>
      <c r="F382" s="26">
        <v>0</v>
      </c>
      <c r="G382" s="26">
        <v>0</v>
      </c>
      <c r="H382" s="28">
        <f t="shared" si="281"/>
        <v>0</v>
      </c>
      <c r="I382" s="26">
        <v>0</v>
      </c>
      <c r="J382" s="26">
        <v>0</v>
      </c>
      <c r="K382" s="29">
        <f t="shared" si="261"/>
        <v>0</v>
      </c>
      <c r="L382" s="34">
        <v>0</v>
      </c>
      <c r="M382" s="26">
        <f t="shared" si="282"/>
        <v>0</v>
      </c>
      <c r="N382" s="60" t="s">
        <v>39</v>
      </c>
      <c r="O382" s="57">
        <v>0</v>
      </c>
      <c r="P382" s="28">
        <f t="shared" si="283"/>
        <v>0</v>
      </c>
      <c r="Q382" s="57">
        <v>0</v>
      </c>
      <c r="R382" s="60">
        <v>0</v>
      </c>
      <c r="S382" s="26">
        <f t="shared" si="284"/>
        <v>0</v>
      </c>
      <c r="T382" s="26">
        <v>0</v>
      </c>
      <c r="U382" s="26">
        <v>0</v>
      </c>
      <c r="V382" s="26">
        <v>0</v>
      </c>
      <c r="W382" s="29">
        <f t="shared" si="287"/>
        <v>0</v>
      </c>
      <c r="X382" s="34">
        <v>0</v>
      </c>
      <c r="Y382" s="26">
        <f t="shared" si="285"/>
        <v>0</v>
      </c>
      <c r="Z382" s="207" t="s">
        <v>263</v>
      </c>
    </row>
    <row r="383" spans="1:27" ht="15" customHeight="1" thickBot="1" x14ac:dyDescent="0.3">
      <c r="A383" s="36" t="s">
        <v>326</v>
      </c>
      <c r="B383" s="102"/>
      <c r="C383" s="38">
        <v>38776</v>
      </c>
      <c r="D383" s="99">
        <v>0</v>
      </c>
      <c r="E383" s="38">
        <f t="shared" si="280"/>
        <v>38776</v>
      </c>
      <c r="F383" s="38">
        <v>0</v>
      </c>
      <c r="G383" s="38">
        <v>0</v>
      </c>
      <c r="H383" s="42">
        <f t="shared" si="281"/>
        <v>38776</v>
      </c>
      <c r="I383" s="38">
        <v>0</v>
      </c>
      <c r="J383" s="38">
        <v>0</v>
      </c>
      <c r="K383" s="101">
        <f t="shared" si="261"/>
        <v>38776</v>
      </c>
      <c r="L383" s="38">
        <v>38776</v>
      </c>
      <c r="M383" s="38">
        <f t="shared" si="282"/>
        <v>0</v>
      </c>
      <c r="N383" s="100">
        <f t="shared" si="286"/>
        <v>1</v>
      </c>
      <c r="O383" s="62">
        <v>0</v>
      </c>
      <c r="P383" s="42">
        <f t="shared" si="283"/>
        <v>38776</v>
      </c>
      <c r="Q383" s="62">
        <v>0</v>
      </c>
      <c r="R383" s="100">
        <v>0</v>
      </c>
      <c r="S383" s="38">
        <f>SUM(P383:R383)</f>
        <v>38776</v>
      </c>
      <c r="T383" s="38">
        <v>0</v>
      </c>
      <c r="U383" s="38">
        <v>0</v>
      </c>
      <c r="V383" s="38">
        <v>0</v>
      </c>
      <c r="W383" s="194">
        <f t="shared" si="287"/>
        <v>38776</v>
      </c>
      <c r="X383" s="38">
        <v>40563.1</v>
      </c>
      <c r="Y383" s="26">
        <f t="shared" si="285"/>
        <v>1787.0999999999985</v>
      </c>
      <c r="Z383" s="207">
        <f t="shared" si="288"/>
        <v>1.0460877862595419</v>
      </c>
    </row>
    <row r="384" spans="1:27" ht="18.75" customHeight="1" thickBot="1" x14ac:dyDescent="0.3">
      <c r="A384" s="51" t="s">
        <v>327</v>
      </c>
      <c r="B384" s="161"/>
      <c r="C384" s="66">
        <f>SUM(C377:C383)</f>
        <v>51326</v>
      </c>
      <c r="D384" s="67">
        <f>SUM(D377:D383)</f>
        <v>0</v>
      </c>
      <c r="E384" s="66">
        <f>SUM(C384:D384)</f>
        <v>51326</v>
      </c>
      <c r="F384" s="66">
        <f>SUM(F377:F383)</f>
        <v>0</v>
      </c>
      <c r="G384" s="66">
        <f>SUM(G377:G383)</f>
        <v>0</v>
      </c>
      <c r="H384" s="68">
        <f>SUM(H377:H383)</f>
        <v>51326</v>
      </c>
      <c r="I384" s="66">
        <f>SUM(I377:I383)</f>
        <v>0</v>
      </c>
      <c r="J384" s="66">
        <f>SUM(J377:J383)</f>
        <v>0</v>
      </c>
      <c r="K384" s="69">
        <f t="shared" si="261"/>
        <v>51326</v>
      </c>
      <c r="L384" s="66">
        <f>SUM(L377:L383)</f>
        <v>53735</v>
      </c>
      <c r="M384" s="66">
        <f>SUM(M377:M383)</f>
        <v>2409</v>
      </c>
      <c r="N384" s="162">
        <f>L384/K384</f>
        <v>1.0469352764680668</v>
      </c>
      <c r="O384" s="163">
        <f t="shared" ref="O384:S384" si="289">SUM(O377:O383)</f>
        <v>0</v>
      </c>
      <c r="P384" s="164">
        <f t="shared" si="289"/>
        <v>53735</v>
      </c>
      <c r="Q384" s="163">
        <f t="shared" si="289"/>
        <v>0</v>
      </c>
      <c r="R384" s="162">
        <f t="shared" si="289"/>
        <v>0</v>
      </c>
      <c r="S384" s="163">
        <f t="shared" si="289"/>
        <v>53735</v>
      </c>
      <c r="T384" s="163">
        <f>SUM(T377:T383)</f>
        <v>0</v>
      </c>
      <c r="U384" s="163">
        <f>SUM(U377:U383)</f>
        <v>0</v>
      </c>
      <c r="V384" s="163">
        <f>SUM(V377:V383)</f>
        <v>0</v>
      </c>
      <c r="W384" s="69">
        <f t="shared" si="287"/>
        <v>53735</v>
      </c>
      <c r="X384" s="66">
        <f t="shared" ref="X384" si="290">SUM(X377:X383)</f>
        <v>55422.1</v>
      </c>
      <c r="Y384" s="66">
        <f>X384-W384</f>
        <v>1687.0999999999985</v>
      </c>
      <c r="Z384" s="208">
        <f>X384/W384</f>
        <v>1.0313966688378151</v>
      </c>
      <c r="AA384" s="191"/>
    </row>
    <row r="385" spans="1:27" ht="18.75" customHeight="1" thickBot="1" x14ac:dyDescent="0.3">
      <c r="A385" s="70" t="s">
        <v>328</v>
      </c>
      <c r="B385" s="165"/>
      <c r="C385" s="72" t="e">
        <f>C374+C384</f>
        <v>#REF!</v>
      </c>
      <c r="D385" s="73" t="e">
        <f>D374+D384</f>
        <v>#REF!</v>
      </c>
      <c r="E385" s="72" t="e">
        <f>SUM(C385:D385)</f>
        <v>#REF!</v>
      </c>
      <c r="F385" s="72" t="e">
        <f>F374+F384</f>
        <v>#REF!</v>
      </c>
      <c r="G385" s="72" t="e">
        <f>SUM(G374+G384)</f>
        <v>#REF!</v>
      </c>
      <c r="H385" s="74" t="e">
        <f>H374+H384</f>
        <v>#REF!</v>
      </c>
      <c r="I385" s="72" t="e">
        <f>I374+I384</f>
        <v>#REF!</v>
      </c>
      <c r="J385" s="72" t="e">
        <f>SUM(J374+J384)</f>
        <v>#REF!</v>
      </c>
      <c r="K385" s="75" t="e">
        <f t="shared" si="261"/>
        <v>#REF!</v>
      </c>
      <c r="L385" s="72">
        <f>L374+L384</f>
        <v>1926988.1000000003</v>
      </c>
      <c r="M385" s="72" t="e">
        <f>M374+M384</f>
        <v>#REF!</v>
      </c>
      <c r="N385" s="166" t="e">
        <f>L385/K385</f>
        <v>#REF!</v>
      </c>
      <c r="O385" s="167">
        <f t="shared" ref="O385:S385" si="291">SUM(O374+O384)</f>
        <v>11354.509999999998</v>
      </c>
      <c r="P385" s="168">
        <f t="shared" si="291"/>
        <v>1938215.4500000002</v>
      </c>
      <c r="Q385" s="167">
        <f t="shared" si="291"/>
        <v>205314.36</v>
      </c>
      <c r="R385" s="166">
        <f t="shared" si="291"/>
        <v>62143.86</v>
      </c>
      <c r="S385" s="167">
        <f t="shared" si="291"/>
        <v>2225852.6199999996</v>
      </c>
      <c r="T385" s="167">
        <f>SUM(T374+T384)</f>
        <v>22238.020000000004</v>
      </c>
      <c r="U385" s="167">
        <f>SUM(U374+U384)</f>
        <v>0</v>
      </c>
      <c r="V385" s="167">
        <f>SUM(V374+V384)</f>
        <v>13048.989999999996</v>
      </c>
      <c r="W385" s="75">
        <f t="shared" si="287"/>
        <v>2261139.63</v>
      </c>
      <c r="X385" s="72">
        <f t="shared" ref="X385" si="292">X374+X384</f>
        <v>2141229.66</v>
      </c>
      <c r="Y385" s="72">
        <f>X385-W385</f>
        <v>-119909.96999999974</v>
      </c>
      <c r="Z385" s="209">
        <f>X385/W385</f>
        <v>0.94696923250157716</v>
      </c>
      <c r="AA385" s="191"/>
    </row>
    <row r="386" spans="1:27" ht="12.75" customHeight="1" thickBot="1" x14ac:dyDescent="0.3">
      <c r="A386" s="182"/>
      <c r="B386" s="183"/>
      <c r="C386" s="184"/>
      <c r="D386" s="185"/>
      <c r="E386" s="184"/>
      <c r="F386" s="184"/>
      <c r="G386" s="184"/>
      <c r="H386" s="186"/>
      <c r="I386" s="184"/>
      <c r="J386" s="184"/>
      <c r="K386" s="187"/>
      <c r="L386" s="184"/>
      <c r="M386" s="184"/>
      <c r="N386" s="188"/>
      <c r="O386" s="189"/>
      <c r="P386" s="190"/>
      <c r="Q386" s="189"/>
      <c r="R386" s="188"/>
      <c r="S386" s="189"/>
      <c r="T386" s="189"/>
      <c r="U386" s="189"/>
      <c r="V386" s="189"/>
      <c r="W386" s="187"/>
      <c r="X386" s="184"/>
      <c r="Y386" s="184"/>
      <c r="Z386" s="225"/>
    </row>
    <row r="387" spans="1:27" ht="30.75" thickBot="1" x14ac:dyDescent="0.3">
      <c r="A387" s="51" t="s">
        <v>329</v>
      </c>
      <c r="B387" s="159"/>
      <c r="C387" s="53"/>
      <c r="D387" s="54"/>
      <c r="E387" s="53"/>
      <c r="F387" s="53"/>
      <c r="G387" s="53"/>
      <c r="H387" s="55"/>
      <c r="I387" s="53"/>
      <c r="J387" s="53"/>
      <c r="K387" s="56"/>
      <c r="L387" s="53"/>
      <c r="M387" s="53"/>
      <c r="N387" s="169"/>
      <c r="O387" s="170"/>
      <c r="P387" s="171"/>
      <c r="Q387" s="170"/>
      <c r="R387" s="169"/>
      <c r="S387" s="170"/>
      <c r="T387" s="170"/>
      <c r="U387" s="170"/>
      <c r="V387" s="170"/>
      <c r="W387" s="56"/>
      <c r="X387" s="53"/>
      <c r="Y387" s="53"/>
      <c r="Z387" s="206"/>
    </row>
    <row r="388" spans="1:27" ht="16.5" customHeight="1" thickBot="1" x14ac:dyDescent="0.3">
      <c r="A388" s="49" t="s">
        <v>330</v>
      </c>
      <c r="B388" s="95"/>
      <c r="C388" s="64" t="s">
        <v>263</v>
      </c>
      <c r="D388" s="63">
        <v>0</v>
      </c>
      <c r="E388" s="64">
        <f>SUM(C388:D388)</f>
        <v>0</v>
      </c>
      <c r="F388" s="64">
        <v>0</v>
      </c>
      <c r="G388" s="64">
        <v>0</v>
      </c>
      <c r="H388" s="96" t="s">
        <v>263</v>
      </c>
      <c r="I388" s="40">
        <v>0</v>
      </c>
      <c r="J388" s="40">
        <v>0</v>
      </c>
      <c r="K388" s="194">
        <f>SUM(H388:J388)</f>
        <v>0</v>
      </c>
      <c r="L388" s="64">
        <v>0</v>
      </c>
      <c r="M388" s="64" t="s">
        <v>263</v>
      </c>
      <c r="N388" s="96" t="s">
        <v>39</v>
      </c>
      <c r="O388" s="64">
        <v>0</v>
      </c>
      <c r="P388" s="224">
        <v>0</v>
      </c>
      <c r="Q388" s="64">
        <v>0</v>
      </c>
      <c r="R388" s="96">
        <v>0</v>
      </c>
      <c r="S388" s="64">
        <f>SUM(P388:R388)</f>
        <v>0</v>
      </c>
      <c r="T388" s="64">
        <f t="shared" ref="T388" si="293">SUM(Q388:S388)</f>
        <v>0</v>
      </c>
      <c r="U388" s="64">
        <v>0</v>
      </c>
      <c r="V388" s="64">
        <v>0</v>
      </c>
      <c r="W388" s="194">
        <f t="shared" si="287"/>
        <v>0</v>
      </c>
      <c r="X388" s="64">
        <v>0</v>
      </c>
      <c r="Y388" s="64">
        <f>X388-W388</f>
        <v>0</v>
      </c>
      <c r="Z388" s="226" t="s">
        <v>263</v>
      </c>
    </row>
    <row r="389" spans="1:27" ht="30.75" thickBot="1" x14ac:dyDescent="0.3">
      <c r="A389" s="51" t="s">
        <v>331</v>
      </c>
      <c r="B389" s="161"/>
      <c r="C389" s="172">
        <f>SUM(C388)</f>
        <v>0</v>
      </c>
      <c r="D389" s="173">
        <f t="shared" ref="D389:H389" si="294">SUM(D388)</f>
        <v>0</v>
      </c>
      <c r="E389" s="172">
        <f t="shared" si="294"/>
        <v>0</v>
      </c>
      <c r="F389" s="172">
        <f t="shared" si="294"/>
        <v>0</v>
      </c>
      <c r="G389" s="172">
        <f t="shared" si="294"/>
        <v>0</v>
      </c>
      <c r="H389" s="172">
        <f t="shared" si="294"/>
        <v>0</v>
      </c>
      <c r="I389" s="172">
        <f>SUM(I388)</f>
        <v>0</v>
      </c>
      <c r="J389" s="172">
        <f>SUM(J388)</f>
        <v>0</v>
      </c>
      <c r="K389" s="174">
        <f t="shared" si="261"/>
        <v>0</v>
      </c>
      <c r="L389" s="172">
        <f>SUM(L388)</f>
        <v>0</v>
      </c>
      <c r="M389" s="172">
        <f>SUM(M388)</f>
        <v>0</v>
      </c>
      <c r="N389" s="175" t="s">
        <v>39</v>
      </c>
      <c r="O389" s="176">
        <f>SUM(O388)</f>
        <v>0</v>
      </c>
      <c r="P389" s="177">
        <f>SUM(P388)</f>
        <v>0</v>
      </c>
      <c r="Q389" s="176">
        <f>SUM(Q388)</f>
        <v>0</v>
      </c>
      <c r="R389" s="175">
        <f>SUM(R388)</f>
        <v>0</v>
      </c>
      <c r="S389" s="176">
        <f>SUM(S388)</f>
        <v>0</v>
      </c>
      <c r="T389" s="176">
        <f t="shared" ref="T389" si="295">SUM(T388)</f>
        <v>0</v>
      </c>
      <c r="U389" s="176">
        <v>0</v>
      </c>
      <c r="V389" s="176">
        <v>0</v>
      </c>
      <c r="W389" s="174">
        <f t="shared" si="287"/>
        <v>0</v>
      </c>
      <c r="X389" s="172">
        <f>SUM(X388)</f>
        <v>0</v>
      </c>
      <c r="Y389" s="172">
        <f>SUM(Y388)</f>
        <v>0</v>
      </c>
      <c r="Z389" s="227" t="s">
        <v>263</v>
      </c>
    </row>
    <row r="390" spans="1:27" ht="9" customHeight="1" x14ac:dyDescent="0.25">
      <c r="D390" s="178"/>
      <c r="E390" s="179"/>
    </row>
    <row r="391" spans="1:27" ht="11.25" customHeight="1" x14ac:dyDescent="0.25">
      <c r="A391" s="195" t="s">
        <v>371</v>
      </c>
      <c r="B391" s="195"/>
      <c r="C391" s="195"/>
      <c r="D391" s="196"/>
      <c r="E391" s="197"/>
      <c r="F391" s="195"/>
      <c r="G391" s="195"/>
      <c r="H391" s="195"/>
      <c r="I391" s="195"/>
      <c r="J391" s="195"/>
      <c r="K391" s="195"/>
      <c r="L391" s="195"/>
      <c r="M391" s="195"/>
      <c r="N391" s="195"/>
      <c r="O391" s="195"/>
      <c r="P391" s="195"/>
      <c r="Q391" s="195"/>
      <c r="R391" s="195"/>
      <c r="S391" s="195"/>
      <c r="T391" s="195"/>
      <c r="U391" s="195"/>
      <c r="V391" s="195"/>
      <c r="W391" s="195"/>
      <c r="X391" s="195"/>
    </row>
    <row r="392" spans="1:27" hidden="1" x14ac:dyDescent="0.25">
      <c r="A392" s="195"/>
      <c r="B392" s="195"/>
      <c r="C392" s="195"/>
      <c r="D392" s="196"/>
      <c r="E392" s="197"/>
      <c r="F392" s="195"/>
      <c r="G392" s="195"/>
      <c r="H392" s="195"/>
      <c r="I392" s="195"/>
      <c r="J392" s="195"/>
      <c r="K392" s="195"/>
      <c r="L392" s="195"/>
      <c r="M392" s="195"/>
      <c r="N392" s="195"/>
      <c r="O392" s="195"/>
      <c r="P392" s="195"/>
      <c r="Q392" s="195"/>
      <c r="R392" s="195"/>
      <c r="S392" s="195"/>
      <c r="T392" s="195"/>
      <c r="U392" s="195"/>
      <c r="V392" s="195"/>
      <c r="W392" s="195"/>
      <c r="X392" s="195"/>
    </row>
  </sheetData>
  <sheetProtection algorithmName="SHA-512" hashValue="4lmQvCOs4vzZM2AAeL9zWqXDvl3Z4S8gcK3+Cbp8imhL9gTQgiIDqCYIrQUpsBqXtFyD2ZxFWZhq0uKsEPnIjg==" saltValue="P7g5FK2LuRh173AgcdBl4w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schváleného rozpočtu pro rok 2024 
&amp;"-,Obyčejné"Zpracovala: Mgr. Andrea Oháňková, FO
&amp;RStrana &amp;P
celkem 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Závaz.ukazat.schvál.rozp.r.2024</vt:lpstr>
      <vt:lpstr>Závaz.ukazat.schvál.rozp.r.2024!Názvy_tisku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Ing. Radmila KAČMAŘÍKOVÁ</cp:lastModifiedBy>
  <cp:lastPrinted>2023-12-13T16:05:43Z</cp:lastPrinted>
  <dcterms:created xsi:type="dcterms:W3CDTF">2023-09-01T05:58:21Z</dcterms:created>
  <dcterms:modified xsi:type="dcterms:W3CDTF">2023-12-15T07:03:17Z</dcterms:modified>
</cp:coreProperties>
</file>